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fcec-my.sharepoint.com/personal/amos_safcec_org_za/Documents/Desktop/desktop/SAFCEC 2022/Indices/"/>
    </mc:Choice>
  </mc:AlternateContent>
  <xr:revisionPtr revIDLastSave="25" documentId="8_{2B8D64FC-B364-4D27-9244-516C98341660}" xr6:coauthVersionLast="47" xr6:coauthVersionMax="47" xr10:uidLastSave="{7955F968-BB6D-4972-BE2B-F748517C5CA5}"/>
  <bookViews>
    <workbookView xWindow="-120" yWindow="-120" windowWidth="20730" windowHeight="11040" tabRatio="947" xr2:uid="{00000000-000D-0000-FFFF-FFFF00000000}"/>
  </bookViews>
  <sheets>
    <sheet name="CPI" sheetId="30" r:id="rId1"/>
    <sheet name="Plant Material Fuel" sheetId="32" r:id="rId2"/>
    <sheet name="No Longer Applicable - Plant" sheetId="31" r:id="rId3"/>
    <sheet name="Table X12 Indices 2012=100" sheetId="29" r:id="rId4"/>
    <sheet name="Table A Indices 2012=100" sheetId="28" r:id="rId5"/>
    <sheet name="Discontinued - OLDTABLE A" sheetId="19" r:id="rId6"/>
    <sheet name="Discontinued - TABLE B" sheetId="21" r:id="rId7"/>
    <sheet name="No Longer Applicable - Table C" sheetId="22" r:id="rId8"/>
  </sheets>
  <definedNames>
    <definedName name="_xlnm.Print_Area" localSheetId="0">CPI!$B$2:$W$153</definedName>
    <definedName name="_xlnm.Print_Area" localSheetId="5">'Discontinued - OLDTABLE A'!$B$2:$AA$109</definedName>
    <definedName name="_xlnm.Print_Area" localSheetId="2">'No Longer Applicable - Plant'!$B$2:$L$148</definedName>
    <definedName name="_xlnm.Print_Area" localSheetId="7">'No Longer Applicable - Table C'!$A$1:$Q$72</definedName>
    <definedName name="_xlnm.Print_Area" localSheetId="4">'Table A Indices 2012=100'!$B$2:$AA$111</definedName>
    <definedName name="_xlnm.Print_Area" localSheetId="3">'Table X12 Indices 2012=100'!$B$2:$V$152</definedName>
    <definedName name="_xlnm.Print_Titles" localSheetId="0">CPI!$2:$15</definedName>
    <definedName name="_xlnm.Print_Titles" localSheetId="5">'Discontinued - OLDTABLE A'!$2:$13</definedName>
    <definedName name="_xlnm.Print_Titles" localSheetId="2">'No Longer Applicable - Plant'!$2:$15</definedName>
    <definedName name="_xlnm.Print_Titles" localSheetId="4">'Table A Indices 2012=100'!$2:$15</definedName>
    <definedName name="_xlnm.Print_Titles" localSheetId="3">'Table X12 Indices 2012=100'!$2:$15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3" i="31" l="1"/>
  <c r="K123" i="31"/>
  <c r="J123" i="31"/>
  <c r="I123" i="31"/>
  <c r="G123" i="31"/>
  <c r="F123" i="31"/>
  <c r="E123" i="31"/>
  <c r="D123" i="31"/>
  <c r="C123" i="31"/>
  <c r="L122" i="31"/>
  <c r="K122" i="31"/>
  <c r="J122" i="31"/>
  <c r="I122" i="31"/>
  <c r="G122" i="31"/>
  <c r="F122" i="31"/>
  <c r="E122" i="31"/>
  <c r="D122" i="31"/>
  <c r="C122" i="31"/>
  <c r="L121" i="31"/>
  <c r="K121" i="31"/>
  <c r="J121" i="31"/>
  <c r="I121" i="31"/>
  <c r="G121" i="31"/>
  <c r="F121" i="31"/>
  <c r="E121" i="31"/>
  <c r="D121" i="31"/>
  <c r="C121" i="31"/>
  <c r="L120" i="31"/>
  <c r="K120" i="31"/>
  <c r="J120" i="31"/>
  <c r="I120" i="31"/>
  <c r="G120" i="31"/>
  <c r="F120" i="31"/>
  <c r="E120" i="31"/>
  <c r="D120" i="31"/>
  <c r="C120" i="31"/>
  <c r="L119" i="31"/>
  <c r="K119" i="31"/>
  <c r="J119" i="31"/>
  <c r="I119" i="31"/>
  <c r="G119" i="31"/>
  <c r="F119" i="31"/>
  <c r="E119" i="31"/>
  <c r="D119" i="31"/>
  <c r="C119" i="31"/>
  <c r="L118" i="31"/>
  <c r="K118" i="31"/>
  <c r="J118" i="31"/>
  <c r="I118" i="31"/>
  <c r="G118" i="31"/>
  <c r="F118" i="31"/>
  <c r="E118" i="31"/>
  <c r="D118" i="31"/>
  <c r="C118" i="31"/>
  <c r="L117" i="31"/>
  <c r="K117" i="31"/>
  <c r="J117" i="31"/>
  <c r="I117" i="31"/>
  <c r="G117" i="31"/>
  <c r="F117" i="31"/>
  <c r="E117" i="31"/>
  <c r="D117" i="31"/>
  <c r="C117" i="31"/>
  <c r="L116" i="31"/>
  <c r="K116" i="31"/>
  <c r="J116" i="31"/>
  <c r="I116" i="31"/>
  <c r="G116" i="31"/>
  <c r="F116" i="31"/>
  <c r="E116" i="31"/>
  <c r="D116" i="31"/>
  <c r="C116" i="31"/>
  <c r="L115" i="31"/>
  <c r="K115" i="31"/>
  <c r="J115" i="31"/>
  <c r="I115" i="31"/>
  <c r="G115" i="31"/>
  <c r="F115" i="31"/>
  <c r="E115" i="31"/>
  <c r="D115" i="31"/>
  <c r="C115" i="31"/>
  <c r="L114" i="31"/>
  <c r="K114" i="31"/>
  <c r="J114" i="31"/>
  <c r="I114" i="31"/>
  <c r="G114" i="31"/>
  <c r="F114" i="31"/>
  <c r="E114" i="31"/>
  <c r="D114" i="31"/>
  <c r="C114" i="31"/>
  <c r="L113" i="31"/>
  <c r="K113" i="31"/>
  <c r="J113" i="31"/>
  <c r="I113" i="31"/>
  <c r="G113" i="31"/>
  <c r="F113" i="31"/>
  <c r="E113" i="31"/>
  <c r="D113" i="31"/>
  <c r="C113" i="31"/>
  <c r="L112" i="31"/>
  <c r="K112" i="31"/>
  <c r="J112" i="31"/>
  <c r="I112" i="31"/>
  <c r="G112" i="31"/>
  <c r="F112" i="31"/>
  <c r="E112" i="31"/>
  <c r="D112" i="31"/>
  <c r="C112" i="31"/>
  <c r="L111" i="31"/>
  <c r="K111" i="31"/>
  <c r="J111" i="31"/>
  <c r="I111" i="31"/>
  <c r="G111" i="31"/>
  <c r="F111" i="31"/>
  <c r="E111" i="31"/>
  <c r="D111" i="31"/>
  <c r="C111" i="31"/>
  <c r="L110" i="31"/>
  <c r="K110" i="31"/>
  <c r="J110" i="31"/>
  <c r="I110" i="31"/>
  <c r="G110" i="31"/>
  <c r="F110" i="31"/>
  <c r="E110" i="31"/>
  <c r="D110" i="31"/>
  <c r="C110" i="31"/>
  <c r="L109" i="31"/>
  <c r="K109" i="31"/>
  <c r="J109" i="31"/>
  <c r="I109" i="31"/>
  <c r="G109" i="31"/>
  <c r="F109" i="31"/>
  <c r="E109" i="31"/>
  <c r="D109" i="31"/>
  <c r="C109" i="31"/>
  <c r="L108" i="31"/>
  <c r="K108" i="31"/>
  <c r="J108" i="31"/>
  <c r="I108" i="31"/>
  <c r="G108" i="31"/>
  <c r="F108" i="31"/>
  <c r="E108" i="31"/>
  <c r="D108" i="31"/>
  <c r="C108" i="31"/>
  <c r="L107" i="31"/>
  <c r="K107" i="31"/>
  <c r="J107" i="31"/>
  <c r="I107" i="31"/>
  <c r="G107" i="31"/>
  <c r="F107" i="31"/>
  <c r="E107" i="31"/>
  <c r="D107" i="31"/>
  <c r="C107" i="31"/>
  <c r="L106" i="31"/>
  <c r="K106" i="31"/>
  <c r="J106" i="31"/>
  <c r="I106" i="31"/>
  <c r="G106" i="31"/>
  <c r="F106" i="31"/>
  <c r="E106" i="31"/>
  <c r="D106" i="31"/>
  <c r="C106" i="31"/>
  <c r="L105" i="31"/>
  <c r="K105" i="31"/>
  <c r="J105" i="31"/>
  <c r="I105" i="31"/>
  <c r="G105" i="31"/>
  <c r="F105" i="31"/>
  <c r="E105" i="31"/>
  <c r="D105" i="31"/>
  <c r="C105" i="31"/>
  <c r="L104" i="31"/>
  <c r="K104" i="31"/>
  <c r="J104" i="31"/>
  <c r="I104" i="31"/>
  <c r="G104" i="31"/>
  <c r="F104" i="31"/>
  <c r="E104" i="31"/>
  <c r="D104" i="31"/>
  <c r="C104" i="31"/>
  <c r="L103" i="31"/>
  <c r="K103" i="31"/>
  <c r="J103" i="31"/>
  <c r="I103" i="31"/>
  <c r="G103" i="31"/>
  <c r="F103" i="31"/>
  <c r="E103" i="31"/>
  <c r="D103" i="31"/>
  <c r="C103" i="31"/>
  <c r="L102" i="31"/>
  <c r="K102" i="31"/>
  <c r="J102" i="31"/>
  <c r="I102" i="31"/>
  <c r="G102" i="31"/>
  <c r="F102" i="31"/>
  <c r="E102" i="31"/>
  <c r="D102" i="31"/>
  <c r="C102" i="31"/>
  <c r="L101" i="31"/>
  <c r="K101" i="31"/>
  <c r="J101" i="31"/>
  <c r="I101" i="31"/>
  <c r="G101" i="31"/>
  <c r="F101" i="31"/>
  <c r="E101" i="31"/>
  <c r="D101" i="31"/>
  <c r="C101" i="31"/>
  <c r="L100" i="31"/>
  <c r="K100" i="31"/>
  <c r="J100" i="31"/>
  <c r="I100" i="31"/>
  <c r="G100" i="31"/>
  <c r="F100" i="31"/>
  <c r="E100" i="31"/>
  <c r="D100" i="31"/>
  <c r="C100" i="31"/>
  <c r="L99" i="31"/>
  <c r="K99" i="31"/>
  <c r="J99" i="31"/>
  <c r="I99" i="31"/>
  <c r="G99" i="31"/>
  <c r="F99" i="31"/>
  <c r="E99" i="31"/>
  <c r="D99" i="31"/>
  <c r="C99" i="31"/>
  <c r="L98" i="31"/>
  <c r="K98" i="31"/>
  <c r="J98" i="31"/>
  <c r="I98" i="31"/>
  <c r="G98" i="31"/>
  <c r="F98" i="31"/>
  <c r="E98" i="31"/>
  <c r="D98" i="31"/>
  <c r="C98" i="31"/>
  <c r="L97" i="31"/>
  <c r="K97" i="31"/>
  <c r="J97" i="31"/>
  <c r="I97" i="31"/>
  <c r="G97" i="31"/>
  <c r="F97" i="31"/>
  <c r="E97" i="31"/>
  <c r="D97" i="31"/>
  <c r="C97" i="31"/>
  <c r="L96" i="31"/>
  <c r="K96" i="31"/>
  <c r="J96" i="31"/>
  <c r="I96" i="31"/>
  <c r="G96" i="31"/>
  <c r="F96" i="31"/>
  <c r="E96" i="31"/>
  <c r="D96" i="31"/>
  <c r="C96" i="31"/>
  <c r="L95" i="31"/>
  <c r="K95" i="31"/>
  <c r="J95" i="31"/>
  <c r="I95" i="31"/>
  <c r="G95" i="31"/>
  <c r="F95" i="31"/>
  <c r="E95" i="31"/>
  <c r="D95" i="31"/>
  <c r="C95" i="31"/>
  <c r="L94" i="31"/>
  <c r="K94" i="31"/>
  <c r="J94" i="31"/>
  <c r="I94" i="31"/>
  <c r="G94" i="31"/>
  <c r="F94" i="31"/>
  <c r="E94" i="31"/>
  <c r="D94" i="31"/>
  <c r="C94" i="31"/>
  <c r="L93" i="31"/>
  <c r="K93" i="31"/>
  <c r="J93" i="31"/>
  <c r="I93" i="31"/>
  <c r="G93" i="31"/>
  <c r="F93" i="31"/>
  <c r="E93" i="31"/>
  <c r="D93" i="31"/>
  <c r="C93" i="31"/>
  <c r="L92" i="31"/>
  <c r="K92" i="31"/>
  <c r="J92" i="31"/>
  <c r="I92" i="31"/>
  <c r="G92" i="31"/>
  <c r="F92" i="31"/>
  <c r="E92" i="31"/>
  <c r="D92" i="31"/>
  <c r="C92" i="31"/>
  <c r="L91" i="31"/>
  <c r="K91" i="31"/>
  <c r="J91" i="31"/>
  <c r="I91" i="31"/>
  <c r="G91" i="31"/>
  <c r="F91" i="31"/>
  <c r="E91" i="31"/>
  <c r="D91" i="31"/>
  <c r="C91" i="31"/>
  <c r="L90" i="31"/>
  <c r="K90" i="31"/>
  <c r="J90" i="31"/>
  <c r="I90" i="31"/>
  <c r="G90" i="31"/>
  <c r="F90" i="31"/>
  <c r="E90" i="31"/>
  <c r="D90" i="31"/>
  <c r="C90" i="31"/>
  <c r="L89" i="31"/>
  <c r="K89" i="31"/>
  <c r="J89" i="31"/>
  <c r="I89" i="31"/>
  <c r="G89" i="31"/>
  <c r="F89" i="31"/>
  <c r="E89" i="31"/>
  <c r="D89" i="31"/>
  <c r="C89" i="31"/>
  <c r="L88" i="31"/>
  <c r="K88" i="31"/>
  <c r="J88" i="31"/>
  <c r="I88" i="31"/>
  <c r="G88" i="31"/>
  <c r="F88" i="31"/>
  <c r="E88" i="31"/>
  <c r="D88" i="31"/>
  <c r="C88" i="31"/>
  <c r="L87" i="31"/>
  <c r="K87" i="31"/>
  <c r="J87" i="31"/>
  <c r="I87" i="31"/>
  <c r="G87" i="31"/>
  <c r="F87" i="31"/>
  <c r="E87" i="31"/>
  <c r="D87" i="31"/>
  <c r="C87" i="31"/>
  <c r="L86" i="31"/>
  <c r="K86" i="31"/>
  <c r="J86" i="31"/>
  <c r="I86" i="31"/>
  <c r="G86" i="31"/>
  <c r="F86" i="31"/>
  <c r="E86" i="31"/>
  <c r="D86" i="31"/>
  <c r="C86" i="31"/>
  <c r="L85" i="31"/>
  <c r="K85" i="31"/>
  <c r="J85" i="31"/>
  <c r="I85" i="31"/>
  <c r="G85" i="31"/>
  <c r="F85" i="31"/>
  <c r="E85" i="31"/>
  <c r="D85" i="31"/>
  <c r="C85" i="31"/>
  <c r="L84" i="31"/>
  <c r="K84" i="31"/>
  <c r="J84" i="31"/>
  <c r="I84" i="31"/>
  <c r="G84" i="31"/>
  <c r="F84" i="31"/>
  <c r="E84" i="31"/>
  <c r="D84" i="31"/>
  <c r="C84" i="31"/>
  <c r="L83" i="31"/>
  <c r="K83" i="31"/>
  <c r="J83" i="31"/>
  <c r="I83" i="31"/>
  <c r="G83" i="31"/>
  <c r="F83" i="31"/>
  <c r="E83" i="31"/>
  <c r="D83" i="31"/>
  <c r="C83" i="31"/>
  <c r="L82" i="31"/>
  <c r="K82" i="31"/>
  <c r="J82" i="31"/>
  <c r="I82" i="31"/>
  <c r="G82" i="31"/>
  <c r="F82" i="31"/>
  <c r="E82" i="31"/>
  <c r="D82" i="31"/>
  <c r="C82" i="31"/>
  <c r="L81" i="31"/>
  <c r="K81" i="31"/>
  <c r="J81" i="31"/>
  <c r="I81" i="31"/>
  <c r="G81" i="31"/>
  <c r="F81" i="31"/>
  <c r="E81" i="31"/>
  <c r="D81" i="31"/>
  <c r="C81" i="31"/>
  <c r="L80" i="31"/>
  <c r="K80" i="31"/>
  <c r="J80" i="31"/>
  <c r="I80" i="31"/>
  <c r="G80" i="31"/>
  <c r="F80" i="31"/>
  <c r="E80" i="31"/>
  <c r="D80" i="31"/>
  <c r="C80" i="31"/>
  <c r="L79" i="31"/>
  <c r="K79" i="31"/>
  <c r="J79" i="31"/>
  <c r="I79" i="31"/>
  <c r="G79" i="31"/>
  <c r="F79" i="31"/>
  <c r="E79" i="31"/>
  <c r="D79" i="31"/>
  <c r="C79" i="31"/>
  <c r="L78" i="31"/>
  <c r="K78" i="31"/>
  <c r="J78" i="31"/>
  <c r="I78" i="31"/>
  <c r="G78" i="31"/>
  <c r="F78" i="31"/>
  <c r="E78" i="31"/>
  <c r="D78" i="31"/>
  <c r="C78" i="31"/>
  <c r="L77" i="31"/>
  <c r="K77" i="31"/>
  <c r="J77" i="31"/>
  <c r="I77" i="31"/>
  <c r="G77" i="31"/>
  <c r="F77" i="31"/>
  <c r="E77" i="31"/>
  <c r="D77" i="31"/>
  <c r="C77" i="31"/>
  <c r="L76" i="31"/>
  <c r="K76" i="31"/>
  <c r="J76" i="31"/>
  <c r="I76" i="31"/>
  <c r="G76" i="31"/>
  <c r="F76" i="31"/>
  <c r="E76" i="31"/>
  <c r="D76" i="31"/>
  <c r="C76" i="31"/>
  <c r="L75" i="31"/>
  <c r="K75" i="31"/>
  <c r="J75" i="31"/>
  <c r="I75" i="31"/>
  <c r="G75" i="31"/>
  <c r="F75" i="31"/>
  <c r="E75" i="31"/>
  <c r="D75" i="31"/>
  <c r="C75" i="31"/>
  <c r="L74" i="31"/>
  <c r="K74" i="31"/>
  <c r="J74" i="31"/>
  <c r="I74" i="31"/>
  <c r="G74" i="31"/>
  <c r="F74" i="31"/>
  <c r="E74" i="31"/>
  <c r="D74" i="31"/>
  <c r="C74" i="31"/>
  <c r="L73" i="31"/>
  <c r="K73" i="31"/>
  <c r="J73" i="31"/>
  <c r="I73" i="31"/>
  <c r="G73" i="31"/>
  <c r="F73" i="31"/>
  <c r="E73" i="31"/>
  <c r="D73" i="31"/>
  <c r="C73" i="31"/>
  <c r="L72" i="31"/>
  <c r="K72" i="31"/>
  <c r="J72" i="31"/>
  <c r="I72" i="31"/>
  <c r="G72" i="31"/>
  <c r="F72" i="31"/>
  <c r="E72" i="31"/>
  <c r="D72" i="31"/>
  <c r="C72" i="31"/>
  <c r="L71" i="31"/>
  <c r="K71" i="31"/>
  <c r="J71" i="31"/>
  <c r="I71" i="31"/>
  <c r="G71" i="31"/>
  <c r="F71" i="31"/>
  <c r="E71" i="31"/>
  <c r="D71" i="31"/>
  <c r="C71" i="31"/>
  <c r="L70" i="31"/>
  <c r="K70" i="31"/>
  <c r="J70" i="31"/>
  <c r="I70" i="31"/>
  <c r="G70" i="31"/>
  <c r="F70" i="31"/>
  <c r="E70" i="31"/>
  <c r="D70" i="31"/>
  <c r="C70" i="31"/>
  <c r="L69" i="31"/>
  <c r="K69" i="31"/>
  <c r="J69" i="31"/>
  <c r="I69" i="31"/>
  <c r="G69" i="31"/>
  <c r="F69" i="31"/>
  <c r="E69" i="31"/>
  <c r="D69" i="31"/>
  <c r="C69" i="31"/>
  <c r="L68" i="31"/>
  <c r="K68" i="31"/>
  <c r="J68" i="31"/>
  <c r="I68" i="31"/>
  <c r="G68" i="31"/>
  <c r="F68" i="31"/>
  <c r="E68" i="31"/>
  <c r="D68" i="31"/>
  <c r="C68" i="31"/>
  <c r="L67" i="31"/>
  <c r="K67" i="31"/>
  <c r="J67" i="31"/>
  <c r="I67" i="31"/>
  <c r="G67" i="31"/>
  <c r="F67" i="31"/>
  <c r="E67" i="31"/>
  <c r="D67" i="31"/>
  <c r="C67" i="31"/>
  <c r="L66" i="31"/>
  <c r="K66" i="31"/>
  <c r="J66" i="31"/>
  <c r="I66" i="31"/>
  <c r="G66" i="31"/>
  <c r="F66" i="31"/>
  <c r="E66" i="31"/>
  <c r="D66" i="31"/>
  <c r="C66" i="31"/>
  <c r="L65" i="31"/>
  <c r="K65" i="31"/>
  <c r="J65" i="31"/>
  <c r="I65" i="31"/>
  <c r="G65" i="31"/>
  <c r="F65" i="31"/>
  <c r="E65" i="31"/>
  <c r="D65" i="31"/>
  <c r="C65" i="31"/>
  <c r="L64" i="31"/>
  <c r="K64" i="31"/>
  <c r="J64" i="31"/>
  <c r="I64" i="31"/>
  <c r="G64" i="31"/>
  <c r="F64" i="31"/>
  <c r="E64" i="31"/>
  <c r="D64" i="31"/>
  <c r="C64" i="31"/>
  <c r="L63" i="31"/>
  <c r="K63" i="31"/>
  <c r="J63" i="31"/>
  <c r="I63" i="31"/>
  <c r="G63" i="31"/>
  <c r="F63" i="31"/>
  <c r="E63" i="31"/>
  <c r="D63" i="31"/>
  <c r="C63" i="31"/>
  <c r="L62" i="31"/>
  <c r="K62" i="31"/>
  <c r="J62" i="31"/>
  <c r="I62" i="31"/>
  <c r="G62" i="31"/>
  <c r="F62" i="31"/>
  <c r="E62" i="31"/>
  <c r="D62" i="31"/>
  <c r="C62" i="31"/>
  <c r="L61" i="31"/>
  <c r="K61" i="31"/>
  <c r="J61" i="31"/>
  <c r="I61" i="31"/>
  <c r="G61" i="31"/>
  <c r="F61" i="31"/>
  <c r="E61" i="31"/>
  <c r="D61" i="31"/>
  <c r="C61" i="31"/>
  <c r="L60" i="31"/>
  <c r="K60" i="31"/>
  <c r="J60" i="31"/>
  <c r="I60" i="31"/>
  <c r="G60" i="31"/>
  <c r="F60" i="31"/>
  <c r="E60" i="31"/>
  <c r="D60" i="31"/>
  <c r="C60" i="31"/>
  <c r="L59" i="31"/>
  <c r="K59" i="31"/>
  <c r="J59" i="31"/>
  <c r="I59" i="31"/>
  <c r="G59" i="31"/>
  <c r="F59" i="31"/>
  <c r="E59" i="31"/>
  <c r="D59" i="31"/>
  <c r="C59" i="31"/>
  <c r="L58" i="31"/>
  <c r="K58" i="31"/>
  <c r="J58" i="31"/>
  <c r="I58" i="31"/>
  <c r="G58" i="31"/>
  <c r="F58" i="31"/>
  <c r="E58" i="31"/>
  <c r="D58" i="31"/>
  <c r="C58" i="31"/>
  <c r="L57" i="31"/>
  <c r="K57" i="31"/>
  <c r="J57" i="31"/>
  <c r="I57" i="31"/>
  <c r="G57" i="31"/>
  <c r="F57" i="31"/>
  <c r="E57" i="31"/>
  <c r="D57" i="31"/>
  <c r="C57" i="31"/>
  <c r="L56" i="31"/>
  <c r="K56" i="31"/>
  <c r="J56" i="31"/>
  <c r="I56" i="31"/>
  <c r="G56" i="31"/>
  <c r="F56" i="31"/>
  <c r="E56" i="31"/>
  <c r="D56" i="31"/>
  <c r="C56" i="31"/>
  <c r="L55" i="31"/>
  <c r="K55" i="31"/>
  <c r="J55" i="31"/>
  <c r="I55" i="31"/>
  <c r="G55" i="31"/>
  <c r="F55" i="31"/>
  <c r="E55" i="31"/>
  <c r="D55" i="31"/>
  <c r="C55" i="31"/>
  <c r="L54" i="31"/>
  <c r="K54" i="31"/>
  <c r="J54" i="31"/>
  <c r="I54" i="31"/>
  <c r="G54" i="31"/>
  <c r="F54" i="31"/>
  <c r="E54" i="31"/>
  <c r="D54" i="31"/>
  <c r="C54" i="31"/>
  <c r="L53" i="31"/>
  <c r="K53" i="31"/>
  <c r="J53" i="31"/>
  <c r="I53" i="31"/>
  <c r="G53" i="31"/>
  <c r="F53" i="31"/>
  <c r="E53" i="31"/>
  <c r="D53" i="31"/>
  <c r="C53" i="31"/>
  <c r="L52" i="31"/>
  <c r="K52" i="31"/>
  <c r="J52" i="31"/>
  <c r="I52" i="31"/>
  <c r="G52" i="31"/>
  <c r="F52" i="31"/>
  <c r="E52" i="31"/>
  <c r="D52" i="31"/>
  <c r="C52" i="31"/>
  <c r="L51" i="31"/>
  <c r="K51" i="31"/>
  <c r="J51" i="31"/>
  <c r="I51" i="31"/>
  <c r="G51" i="31"/>
  <c r="F51" i="31"/>
  <c r="E51" i="31"/>
  <c r="D51" i="31"/>
  <c r="C51" i="31"/>
  <c r="L50" i="31"/>
  <c r="K50" i="31"/>
  <c r="J50" i="31"/>
  <c r="I50" i="31"/>
  <c r="G50" i="31"/>
  <c r="F50" i="31"/>
  <c r="E50" i="31"/>
  <c r="D50" i="31"/>
  <c r="C50" i="31"/>
  <c r="L49" i="31"/>
  <c r="K49" i="31"/>
  <c r="J49" i="31"/>
  <c r="I49" i="31"/>
  <c r="G49" i="31"/>
  <c r="F49" i="31"/>
  <c r="E49" i="31"/>
  <c r="D49" i="31"/>
  <c r="C49" i="31"/>
  <c r="L48" i="31"/>
  <c r="K48" i="31"/>
  <c r="G48" i="31"/>
  <c r="F48" i="31"/>
  <c r="C48" i="31"/>
  <c r="L47" i="31"/>
  <c r="K47" i="31"/>
  <c r="G47" i="31"/>
  <c r="F47" i="31"/>
  <c r="C47" i="31"/>
  <c r="L46" i="31"/>
  <c r="K46" i="31"/>
  <c r="G46" i="31"/>
  <c r="F46" i="31"/>
  <c r="C46" i="31"/>
  <c r="L45" i="31"/>
  <c r="K45" i="31"/>
  <c r="G45" i="31"/>
  <c r="F45" i="31"/>
  <c r="C45" i="31"/>
  <c r="L44" i="31"/>
  <c r="K44" i="31"/>
  <c r="G44" i="31"/>
  <c r="F44" i="31"/>
  <c r="C44" i="31"/>
  <c r="L43" i="31"/>
  <c r="K43" i="31"/>
  <c r="G43" i="31"/>
  <c r="F43" i="31"/>
  <c r="C43" i="31"/>
  <c r="L42" i="31"/>
  <c r="K42" i="31"/>
  <c r="G42" i="31"/>
  <c r="F42" i="31"/>
  <c r="C42" i="31"/>
  <c r="L41" i="31"/>
  <c r="K41" i="31"/>
  <c r="G41" i="31"/>
  <c r="F41" i="31"/>
  <c r="C41" i="31"/>
  <c r="L40" i="31"/>
  <c r="K40" i="31"/>
  <c r="G40" i="31"/>
  <c r="F40" i="31"/>
  <c r="C40" i="31"/>
  <c r="L39" i="31"/>
  <c r="K39" i="31"/>
  <c r="G39" i="31"/>
  <c r="F39" i="31"/>
  <c r="C39" i="31"/>
  <c r="L38" i="31"/>
  <c r="K38" i="31"/>
  <c r="G38" i="31"/>
  <c r="F38" i="31"/>
  <c r="C38" i="31"/>
  <c r="L37" i="31"/>
  <c r="K37" i="31"/>
  <c r="G37" i="31"/>
  <c r="F37" i="31"/>
  <c r="C37" i="31"/>
  <c r="L36" i="31"/>
  <c r="K36" i="31"/>
  <c r="G36" i="31"/>
  <c r="F36" i="31"/>
  <c r="C36" i="31"/>
  <c r="L35" i="31"/>
  <c r="K35" i="31"/>
  <c r="G35" i="31"/>
  <c r="F35" i="31"/>
  <c r="C35" i="31"/>
  <c r="L34" i="31"/>
  <c r="K34" i="31"/>
  <c r="G34" i="31"/>
  <c r="F34" i="31"/>
  <c r="C34" i="31"/>
  <c r="L33" i="31"/>
  <c r="K33" i="31"/>
  <c r="G33" i="31"/>
  <c r="F33" i="31"/>
  <c r="C33" i="31"/>
  <c r="L32" i="31"/>
  <c r="K32" i="31"/>
  <c r="G32" i="31"/>
  <c r="F32" i="31"/>
  <c r="C32" i="31"/>
  <c r="L31" i="31"/>
  <c r="K31" i="31"/>
  <c r="G31" i="31"/>
  <c r="F31" i="31"/>
  <c r="C31" i="31"/>
  <c r="L30" i="31"/>
  <c r="K30" i="31"/>
  <c r="G30" i="31"/>
  <c r="F30" i="31"/>
  <c r="C30" i="31"/>
  <c r="L29" i="31"/>
  <c r="K29" i="31"/>
  <c r="G29" i="31"/>
  <c r="F29" i="31"/>
  <c r="C29" i="31"/>
  <c r="L28" i="31"/>
  <c r="K28" i="31"/>
  <c r="G28" i="31"/>
  <c r="F28" i="31"/>
  <c r="C28" i="31"/>
  <c r="L27" i="31"/>
  <c r="K27" i="31"/>
  <c r="G27" i="31"/>
  <c r="F27" i="31"/>
  <c r="C27" i="31"/>
  <c r="L26" i="31"/>
  <c r="K26" i="31"/>
  <c r="G26" i="31"/>
  <c r="F26" i="31"/>
  <c r="C26" i="31"/>
  <c r="L25" i="31"/>
  <c r="K25" i="31"/>
  <c r="G25" i="31"/>
  <c r="F25" i="31"/>
  <c r="C25" i="31"/>
  <c r="L24" i="31"/>
  <c r="K24" i="31"/>
  <c r="G24" i="31"/>
  <c r="F24" i="31"/>
  <c r="C24" i="31"/>
  <c r="L23" i="31"/>
  <c r="K23" i="31"/>
  <c r="G23" i="31"/>
  <c r="F23" i="31"/>
  <c r="C23" i="31"/>
  <c r="L22" i="31"/>
  <c r="K22" i="31"/>
  <c r="G22" i="31"/>
  <c r="F22" i="31"/>
  <c r="C22" i="31"/>
  <c r="L21" i="31"/>
  <c r="K21" i="31"/>
  <c r="G21" i="31"/>
  <c r="F21" i="31"/>
  <c r="C21" i="31"/>
  <c r="L20" i="31"/>
  <c r="K20" i="31"/>
  <c r="G20" i="31"/>
  <c r="F20" i="31"/>
  <c r="C20" i="31"/>
  <c r="L19" i="31"/>
  <c r="K19" i="31"/>
  <c r="G19" i="31"/>
  <c r="F19" i="31"/>
  <c r="C19" i="31"/>
  <c r="L18" i="31"/>
  <c r="K18" i="31"/>
  <c r="G18" i="31"/>
  <c r="F18" i="31"/>
  <c r="C18" i="31"/>
  <c r="L17" i="31"/>
  <c r="K17" i="31"/>
  <c r="G17" i="31"/>
  <c r="F17" i="31"/>
  <c r="C17" i="31"/>
  <c r="L16" i="31"/>
  <c r="K16" i="31"/>
  <c r="G16" i="31"/>
  <c r="F16" i="31"/>
  <c r="C16" i="31"/>
  <c r="D123" i="30" l="1"/>
  <c r="L109" i="30" l="1"/>
  <c r="K109" i="30"/>
  <c r="J109" i="30"/>
  <c r="I109" i="30"/>
  <c r="H109" i="30"/>
  <c r="G109" i="30"/>
  <c r="F109" i="30"/>
  <c r="E109" i="30"/>
  <c r="D109" i="30"/>
  <c r="L108" i="30"/>
  <c r="K108" i="30"/>
  <c r="J108" i="30"/>
  <c r="I108" i="30"/>
  <c r="H108" i="30"/>
  <c r="G108" i="30"/>
  <c r="F108" i="30"/>
  <c r="E108" i="30"/>
  <c r="D108" i="30"/>
  <c r="L107" i="30"/>
  <c r="K107" i="30"/>
  <c r="J107" i="30"/>
  <c r="I107" i="30"/>
  <c r="H107" i="30"/>
  <c r="G107" i="30"/>
  <c r="F107" i="30"/>
  <c r="E107" i="30"/>
  <c r="D107" i="30"/>
  <c r="L106" i="30"/>
  <c r="K106" i="30"/>
  <c r="J106" i="30"/>
  <c r="I106" i="30"/>
  <c r="H106" i="30"/>
  <c r="G106" i="30"/>
  <c r="F106" i="30"/>
  <c r="E106" i="30"/>
  <c r="D106" i="30"/>
  <c r="L105" i="30"/>
  <c r="K105" i="30"/>
  <c r="J105" i="30"/>
  <c r="I105" i="30"/>
  <c r="H105" i="30"/>
  <c r="G105" i="30"/>
  <c r="F105" i="30"/>
  <c r="E105" i="30"/>
  <c r="D105" i="30"/>
  <c r="L104" i="30"/>
  <c r="K104" i="30"/>
  <c r="J104" i="30"/>
  <c r="I104" i="30"/>
  <c r="H104" i="30"/>
  <c r="G104" i="30"/>
  <c r="F104" i="30"/>
  <c r="E104" i="30"/>
  <c r="D104" i="30"/>
  <c r="L103" i="30"/>
  <c r="K103" i="30"/>
  <c r="J103" i="30"/>
  <c r="I103" i="30"/>
  <c r="H103" i="30"/>
  <c r="G103" i="30"/>
  <c r="F103" i="30"/>
  <c r="E103" i="30"/>
  <c r="D103" i="30"/>
  <c r="L102" i="30"/>
  <c r="K102" i="30"/>
  <c r="J102" i="30"/>
  <c r="I102" i="30"/>
  <c r="H102" i="30"/>
  <c r="G102" i="30"/>
  <c r="F102" i="30"/>
  <c r="E102" i="30"/>
  <c r="D102" i="30"/>
  <c r="L101" i="30"/>
  <c r="K101" i="30"/>
  <c r="J101" i="30"/>
  <c r="I101" i="30"/>
  <c r="H101" i="30"/>
  <c r="G101" i="30"/>
  <c r="F101" i="30"/>
  <c r="E101" i="30"/>
  <c r="D101" i="30"/>
  <c r="L100" i="30"/>
  <c r="K100" i="30"/>
  <c r="J100" i="30"/>
  <c r="I100" i="30"/>
  <c r="H100" i="30"/>
  <c r="G100" i="30"/>
  <c r="F100" i="30"/>
  <c r="E100" i="30"/>
  <c r="D100" i="30"/>
  <c r="L99" i="30"/>
  <c r="K99" i="30"/>
  <c r="J99" i="30"/>
  <c r="I99" i="30"/>
  <c r="H99" i="30"/>
  <c r="G99" i="30"/>
  <c r="F99" i="30"/>
  <c r="E99" i="30"/>
  <c r="D99" i="30"/>
  <c r="L98" i="30"/>
  <c r="K98" i="30"/>
  <c r="J98" i="30"/>
  <c r="I98" i="30"/>
  <c r="H98" i="30"/>
  <c r="G98" i="30"/>
  <c r="F98" i="30"/>
  <c r="E98" i="30"/>
  <c r="D98" i="30"/>
  <c r="L97" i="30"/>
  <c r="K97" i="30"/>
  <c r="J97" i="30"/>
  <c r="I97" i="30"/>
  <c r="H97" i="30"/>
  <c r="G97" i="30"/>
  <c r="F97" i="30"/>
  <c r="E97" i="30"/>
  <c r="D97" i="30"/>
  <c r="L96" i="30"/>
  <c r="K96" i="30"/>
  <c r="J96" i="30"/>
  <c r="I96" i="30"/>
  <c r="H96" i="30"/>
  <c r="G96" i="30"/>
  <c r="F96" i="30"/>
  <c r="E96" i="30"/>
  <c r="D96" i="30"/>
  <c r="L95" i="30"/>
  <c r="K95" i="30"/>
  <c r="J95" i="30"/>
  <c r="I95" i="30"/>
  <c r="H95" i="30"/>
  <c r="G95" i="30"/>
  <c r="F95" i="30"/>
  <c r="E95" i="30"/>
  <c r="D95" i="30"/>
  <c r="L94" i="30"/>
  <c r="K94" i="30"/>
  <c r="J94" i="30"/>
  <c r="I94" i="30"/>
  <c r="H94" i="30"/>
  <c r="G94" i="30"/>
  <c r="F94" i="30"/>
  <c r="E94" i="30"/>
  <c r="D94" i="30"/>
  <c r="L93" i="30"/>
  <c r="K93" i="30"/>
  <c r="J93" i="30"/>
  <c r="I93" i="30"/>
  <c r="H93" i="30"/>
  <c r="G93" i="30"/>
  <c r="F93" i="30"/>
  <c r="E93" i="30"/>
  <c r="D93" i="30"/>
  <c r="L92" i="30"/>
  <c r="K92" i="30"/>
  <c r="J92" i="30"/>
  <c r="I92" i="30"/>
  <c r="H92" i="30"/>
  <c r="G92" i="30"/>
  <c r="F92" i="30"/>
  <c r="E92" i="30"/>
  <c r="D92" i="30"/>
  <c r="L91" i="30"/>
  <c r="K91" i="30"/>
  <c r="J91" i="30"/>
  <c r="I91" i="30"/>
  <c r="H91" i="30"/>
  <c r="G91" i="30"/>
  <c r="F91" i="30"/>
  <c r="E91" i="30"/>
  <c r="D91" i="30"/>
  <c r="L90" i="30"/>
  <c r="K90" i="30"/>
  <c r="J90" i="30"/>
  <c r="I90" i="30"/>
  <c r="H90" i="30"/>
  <c r="G90" i="30"/>
  <c r="F90" i="30"/>
  <c r="E90" i="30"/>
  <c r="D90" i="30"/>
  <c r="L89" i="30"/>
  <c r="K89" i="30"/>
  <c r="J89" i="30"/>
  <c r="I89" i="30"/>
  <c r="H89" i="30"/>
  <c r="G89" i="30"/>
  <c r="F89" i="30"/>
  <c r="E89" i="30"/>
  <c r="D89" i="30"/>
  <c r="L88" i="30"/>
  <c r="K88" i="30"/>
  <c r="J88" i="30"/>
  <c r="I88" i="30"/>
  <c r="H88" i="30"/>
  <c r="G88" i="30"/>
  <c r="F88" i="30"/>
  <c r="E88" i="30"/>
  <c r="D88" i="30"/>
  <c r="L87" i="30"/>
  <c r="K87" i="30"/>
  <c r="J87" i="30"/>
  <c r="I87" i="30"/>
  <c r="H87" i="30"/>
  <c r="G87" i="30"/>
  <c r="F87" i="30"/>
  <c r="E87" i="30"/>
  <c r="D87" i="30"/>
  <c r="L86" i="30"/>
  <c r="K86" i="30"/>
  <c r="J86" i="30"/>
  <c r="I86" i="30"/>
  <c r="H86" i="30"/>
  <c r="G86" i="30"/>
  <c r="F86" i="30"/>
  <c r="E86" i="30"/>
  <c r="D86" i="30"/>
  <c r="L85" i="30"/>
  <c r="K85" i="30"/>
  <c r="J85" i="30"/>
  <c r="I85" i="30"/>
  <c r="H85" i="30"/>
  <c r="G85" i="30"/>
  <c r="F85" i="30"/>
  <c r="E85" i="30"/>
  <c r="D85" i="30"/>
  <c r="L84" i="30"/>
  <c r="K84" i="30"/>
  <c r="J84" i="30"/>
  <c r="I84" i="30"/>
  <c r="H84" i="30"/>
  <c r="G84" i="30"/>
  <c r="F84" i="30"/>
  <c r="E84" i="30"/>
  <c r="D84" i="30"/>
  <c r="L83" i="30"/>
  <c r="K83" i="30"/>
  <c r="J83" i="30"/>
  <c r="I83" i="30"/>
  <c r="H83" i="30"/>
  <c r="G83" i="30"/>
  <c r="F83" i="30"/>
  <c r="E83" i="30"/>
  <c r="D83" i="30"/>
  <c r="L82" i="30"/>
  <c r="K82" i="30"/>
  <c r="J82" i="30"/>
  <c r="I82" i="30"/>
  <c r="H82" i="30"/>
  <c r="G82" i="30"/>
  <c r="F82" i="30"/>
  <c r="E82" i="30"/>
  <c r="D82" i="30"/>
  <c r="L81" i="30"/>
  <c r="K81" i="30"/>
  <c r="J81" i="30"/>
  <c r="I81" i="30"/>
  <c r="H81" i="30"/>
  <c r="G81" i="30"/>
  <c r="F81" i="30"/>
  <c r="E81" i="30"/>
  <c r="D81" i="30"/>
  <c r="L80" i="30"/>
  <c r="K80" i="30"/>
  <c r="J80" i="30"/>
  <c r="I80" i="30"/>
  <c r="H80" i="30"/>
  <c r="G80" i="30"/>
  <c r="F80" i="30"/>
  <c r="E80" i="30"/>
  <c r="D80" i="30"/>
  <c r="L79" i="30"/>
  <c r="K79" i="30"/>
  <c r="J79" i="30"/>
  <c r="I79" i="30"/>
  <c r="H79" i="30"/>
  <c r="G79" i="30"/>
  <c r="F79" i="30"/>
  <c r="E79" i="30"/>
  <c r="D79" i="30"/>
  <c r="L78" i="30"/>
  <c r="K78" i="30"/>
  <c r="J78" i="30"/>
  <c r="I78" i="30"/>
  <c r="H78" i="30"/>
  <c r="G78" i="30"/>
  <c r="F78" i="30"/>
  <c r="E78" i="30"/>
  <c r="D78" i="30"/>
  <c r="L77" i="30"/>
  <c r="K77" i="30"/>
  <c r="J77" i="30"/>
  <c r="I77" i="30"/>
  <c r="H77" i="30"/>
  <c r="G77" i="30"/>
  <c r="F77" i="30"/>
  <c r="E77" i="30"/>
  <c r="D77" i="30"/>
  <c r="L76" i="30"/>
  <c r="K76" i="30"/>
  <c r="J76" i="30"/>
  <c r="I76" i="30"/>
  <c r="H76" i="30"/>
  <c r="G76" i="30"/>
  <c r="F76" i="30"/>
  <c r="E76" i="30"/>
  <c r="D76" i="30"/>
  <c r="L75" i="30"/>
  <c r="K75" i="30"/>
  <c r="J75" i="30"/>
  <c r="I75" i="30"/>
  <c r="H75" i="30"/>
  <c r="G75" i="30"/>
  <c r="F75" i="30"/>
  <c r="E75" i="30"/>
  <c r="D75" i="30"/>
  <c r="L74" i="30"/>
  <c r="K74" i="30"/>
  <c r="J74" i="30"/>
  <c r="I74" i="30"/>
  <c r="H74" i="30"/>
  <c r="G74" i="30"/>
  <c r="F74" i="30"/>
  <c r="E74" i="30"/>
  <c r="D74" i="30"/>
  <c r="L73" i="30"/>
  <c r="K73" i="30"/>
  <c r="J73" i="30"/>
  <c r="I73" i="30"/>
  <c r="H73" i="30"/>
  <c r="G73" i="30"/>
  <c r="F73" i="30"/>
  <c r="E73" i="30"/>
  <c r="D73" i="30"/>
  <c r="L72" i="30"/>
  <c r="K72" i="30"/>
  <c r="J72" i="30"/>
  <c r="I72" i="30"/>
  <c r="H72" i="30"/>
  <c r="G72" i="30"/>
  <c r="F72" i="30"/>
  <c r="E72" i="30"/>
  <c r="D72" i="30"/>
  <c r="L71" i="30"/>
  <c r="K71" i="30"/>
  <c r="J71" i="30"/>
  <c r="I71" i="30"/>
  <c r="H71" i="30"/>
  <c r="G71" i="30"/>
  <c r="F71" i="30"/>
  <c r="E71" i="30"/>
  <c r="D71" i="30"/>
  <c r="L70" i="30"/>
  <c r="K70" i="30"/>
  <c r="J70" i="30"/>
  <c r="I70" i="30"/>
  <c r="H70" i="30"/>
  <c r="G70" i="30"/>
  <c r="F70" i="30"/>
  <c r="E70" i="30"/>
  <c r="D70" i="30"/>
  <c r="L69" i="30"/>
  <c r="K69" i="30"/>
  <c r="J69" i="30"/>
  <c r="I69" i="30"/>
  <c r="H69" i="30"/>
  <c r="G69" i="30"/>
  <c r="F69" i="30"/>
  <c r="E69" i="30"/>
  <c r="D69" i="30"/>
  <c r="L68" i="30"/>
  <c r="K68" i="30"/>
  <c r="J68" i="30"/>
  <c r="I68" i="30"/>
  <c r="H68" i="30"/>
  <c r="G68" i="30"/>
  <c r="F68" i="30"/>
  <c r="E68" i="30"/>
  <c r="D68" i="30"/>
  <c r="L67" i="30"/>
  <c r="K67" i="30"/>
  <c r="J67" i="30"/>
  <c r="I67" i="30"/>
  <c r="H67" i="30"/>
  <c r="G67" i="30"/>
  <c r="F67" i="30"/>
  <c r="E67" i="30"/>
  <c r="D67" i="30"/>
  <c r="L66" i="30"/>
  <c r="K66" i="30"/>
  <c r="J66" i="30"/>
  <c r="I66" i="30"/>
  <c r="H66" i="30"/>
  <c r="G66" i="30"/>
  <c r="F66" i="30"/>
  <c r="E66" i="30"/>
  <c r="D66" i="30"/>
  <c r="L65" i="30"/>
  <c r="K65" i="30"/>
  <c r="J65" i="30"/>
  <c r="I65" i="30"/>
  <c r="H65" i="30"/>
  <c r="G65" i="30"/>
  <c r="F65" i="30"/>
  <c r="E65" i="30"/>
  <c r="D65" i="30"/>
  <c r="L64" i="30"/>
  <c r="K64" i="30"/>
  <c r="J64" i="30"/>
  <c r="I64" i="30"/>
  <c r="H64" i="30"/>
  <c r="G64" i="30"/>
  <c r="F64" i="30"/>
  <c r="E64" i="30"/>
  <c r="D64" i="30"/>
  <c r="L63" i="30"/>
  <c r="K63" i="30"/>
  <c r="J63" i="30"/>
  <c r="I63" i="30"/>
  <c r="H63" i="30"/>
  <c r="G63" i="30"/>
  <c r="F63" i="30"/>
  <c r="E63" i="30"/>
  <c r="D63" i="30"/>
  <c r="L62" i="30"/>
  <c r="K62" i="30"/>
  <c r="J62" i="30"/>
  <c r="I62" i="30"/>
  <c r="H62" i="30"/>
  <c r="G62" i="30"/>
  <c r="F62" i="30"/>
  <c r="E62" i="30"/>
  <c r="D62" i="30"/>
  <c r="L61" i="30"/>
  <c r="K61" i="30"/>
  <c r="J61" i="30"/>
  <c r="I61" i="30"/>
  <c r="H61" i="30"/>
  <c r="G61" i="30"/>
  <c r="F61" i="30"/>
  <c r="E61" i="30"/>
  <c r="D61" i="30"/>
  <c r="L60" i="30"/>
  <c r="K60" i="30"/>
  <c r="J60" i="30"/>
  <c r="I60" i="30"/>
  <c r="H60" i="30"/>
  <c r="G60" i="30"/>
  <c r="F60" i="30"/>
  <c r="E60" i="30"/>
  <c r="D60" i="30"/>
  <c r="L59" i="30"/>
  <c r="K59" i="30"/>
  <c r="J59" i="30"/>
  <c r="I59" i="30"/>
  <c r="H59" i="30"/>
  <c r="G59" i="30"/>
  <c r="F59" i="30"/>
  <c r="E59" i="30"/>
  <c r="D59" i="30"/>
  <c r="L58" i="30"/>
  <c r="K58" i="30"/>
  <c r="J58" i="30"/>
  <c r="I58" i="30"/>
  <c r="H58" i="30"/>
  <c r="G58" i="30"/>
  <c r="F58" i="30"/>
  <c r="E58" i="30"/>
  <c r="D58" i="30"/>
  <c r="L57" i="30"/>
  <c r="K57" i="30"/>
  <c r="J57" i="30"/>
  <c r="I57" i="30"/>
  <c r="H57" i="30"/>
  <c r="G57" i="30"/>
  <c r="F57" i="30"/>
  <c r="E57" i="30"/>
  <c r="D57" i="30"/>
  <c r="L56" i="30"/>
  <c r="K56" i="30"/>
  <c r="J56" i="30"/>
  <c r="I56" i="30"/>
  <c r="H56" i="30"/>
  <c r="G56" i="30"/>
  <c r="F56" i="30"/>
  <c r="E56" i="30"/>
  <c r="D56" i="30"/>
  <c r="L55" i="30"/>
  <c r="K55" i="30"/>
  <c r="J55" i="30"/>
  <c r="I55" i="30"/>
  <c r="H55" i="30"/>
  <c r="G55" i="30"/>
  <c r="F55" i="30"/>
  <c r="E55" i="30"/>
  <c r="D55" i="30"/>
  <c r="L54" i="30"/>
  <c r="K54" i="30"/>
  <c r="J54" i="30"/>
  <c r="I54" i="30"/>
  <c r="H54" i="30"/>
  <c r="G54" i="30"/>
  <c r="F54" i="30"/>
  <c r="E54" i="30"/>
  <c r="D54" i="30"/>
  <c r="L53" i="30"/>
  <c r="K53" i="30"/>
  <c r="J53" i="30"/>
  <c r="I53" i="30"/>
  <c r="H53" i="30"/>
  <c r="G53" i="30"/>
  <c r="F53" i="30"/>
  <c r="E53" i="30"/>
  <c r="D53" i="30"/>
  <c r="L52" i="30"/>
  <c r="K52" i="30"/>
  <c r="J52" i="30"/>
  <c r="I52" i="30"/>
  <c r="H52" i="30"/>
  <c r="G52" i="30"/>
  <c r="F52" i="30"/>
  <c r="E52" i="30"/>
  <c r="D52" i="30"/>
  <c r="L51" i="30"/>
  <c r="K51" i="30"/>
  <c r="J51" i="30"/>
  <c r="I51" i="30"/>
  <c r="H51" i="30"/>
  <c r="G51" i="30"/>
  <c r="F51" i="30"/>
  <c r="E51" i="30"/>
  <c r="D51" i="30"/>
  <c r="L50" i="30"/>
  <c r="K50" i="30"/>
  <c r="J50" i="30"/>
  <c r="I50" i="30"/>
  <c r="H50" i="30"/>
  <c r="G50" i="30"/>
  <c r="F50" i="30"/>
  <c r="E50" i="30"/>
  <c r="D50" i="30"/>
  <c r="L49" i="30"/>
  <c r="K49" i="30"/>
  <c r="J49" i="30"/>
  <c r="I49" i="30"/>
  <c r="H49" i="30"/>
  <c r="G49" i="30"/>
  <c r="F49" i="30"/>
  <c r="E49" i="30"/>
  <c r="D49" i="30"/>
  <c r="L48" i="30"/>
  <c r="K48" i="30"/>
  <c r="J48" i="30"/>
  <c r="I48" i="30"/>
  <c r="H48" i="30"/>
  <c r="G48" i="30"/>
  <c r="F48" i="30"/>
  <c r="E48" i="30"/>
  <c r="D48" i="30"/>
  <c r="L47" i="30"/>
  <c r="K47" i="30"/>
  <c r="J47" i="30"/>
  <c r="I47" i="30"/>
  <c r="H47" i="30"/>
  <c r="G47" i="30"/>
  <c r="F47" i="30"/>
  <c r="E47" i="30"/>
  <c r="D47" i="30"/>
  <c r="L46" i="30"/>
  <c r="K46" i="30"/>
  <c r="J46" i="30"/>
  <c r="I46" i="30"/>
  <c r="H46" i="30"/>
  <c r="G46" i="30"/>
  <c r="F46" i="30"/>
  <c r="E46" i="30"/>
  <c r="D46" i="30"/>
  <c r="L45" i="30"/>
  <c r="K45" i="30"/>
  <c r="J45" i="30"/>
  <c r="I45" i="30"/>
  <c r="H45" i="30"/>
  <c r="G45" i="30"/>
  <c r="F45" i="30"/>
  <c r="E45" i="30"/>
  <c r="D45" i="30"/>
  <c r="L44" i="30"/>
  <c r="K44" i="30"/>
  <c r="J44" i="30"/>
  <c r="I44" i="30"/>
  <c r="H44" i="30"/>
  <c r="G44" i="30"/>
  <c r="F44" i="30"/>
  <c r="E44" i="30"/>
  <c r="D44" i="30"/>
  <c r="L43" i="30"/>
  <c r="K43" i="30"/>
  <c r="J43" i="30"/>
  <c r="I43" i="30"/>
  <c r="H43" i="30"/>
  <c r="G43" i="30"/>
  <c r="F43" i="30"/>
  <c r="E43" i="30"/>
  <c r="D43" i="30"/>
  <c r="L42" i="30"/>
  <c r="K42" i="30"/>
  <c r="J42" i="30"/>
  <c r="I42" i="30"/>
  <c r="H42" i="30"/>
  <c r="G42" i="30"/>
  <c r="F42" i="30"/>
  <c r="E42" i="30"/>
  <c r="D42" i="30"/>
  <c r="L41" i="30"/>
  <c r="K41" i="30"/>
  <c r="J41" i="30"/>
  <c r="I41" i="30"/>
  <c r="H41" i="30"/>
  <c r="G41" i="30"/>
  <c r="F41" i="30"/>
  <c r="E41" i="30"/>
  <c r="D41" i="30"/>
  <c r="L40" i="30"/>
  <c r="K40" i="30"/>
  <c r="J40" i="30"/>
  <c r="I40" i="30"/>
  <c r="H40" i="30"/>
  <c r="G40" i="30"/>
  <c r="F40" i="30"/>
  <c r="E40" i="30"/>
  <c r="D40" i="30"/>
  <c r="L39" i="30"/>
  <c r="K39" i="30"/>
  <c r="J39" i="30"/>
  <c r="I39" i="30"/>
  <c r="H39" i="30"/>
  <c r="G39" i="30"/>
  <c r="F39" i="30"/>
  <c r="E39" i="30"/>
  <c r="D39" i="30"/>
  <c r="L38" i="30"/>
  <c r="K38" i="30"/>
  <c r="J38" i="30"/>
  <c r="I38" i="30"/>
  <c r="H38" i="30"/>
  <c r="G38" i="30"/>
  <c r="F38" i="30"/>
  <c r="E38" i="30"/>
  <c r="D38" i="30"/>
  <c r="L37" i="30"/>
  <c r="K37" i="30"/>
  <c r="J37" i="30"/>
  <c r="I37" i="30"/>
  <c r="H37" i="30"/>
  <c r="G37" i="30"/>
  <c r="F37" i="30"/>
  <c r="E37" i="30"/>
  <c r="D37" i="30"/>
  <c r="L36" i="30"/>
  <c r="K36" i="30"/>
  <c r="J36" i="30"/>
  <c r="I36" i="30"/>
  <c r="H36" i="30"/>
  <c r="G36" i="30"/>
  <c r="F36" i="30"/>
  <c r="E36" i="30"/>
  <c r="D36" i="30"/>
  <c r="L35" i="30"/>
  <c r="K35" i="30"/>
  <c r="J35" i="30"/>
  <c r="I35" i="30"/>
  <c r="H35" i="30"/>
  <c r="G35" i="30"/>
  <c r="F35" i="30"/>
  <c r="E35" i="30"/>
  <c r="D35" i="30"/>
  <c r="L34" i="30"/>
  <c r="K34" i="30"/>
  <c r="J34" i="30"/>
  <c r="I34" i="30"/>
  <c r="H34" i="30"/>
  <c r="G34" i="30"/>
  <c r="F34" i="30"/>
  <c r="E34" i="30"/>
  <c r="D34" i="30"/>
  <c r="L33" i="30"/>
  <c r="K33" i="30"/>
  <c r="J33" i="30"/>
  <c r="I33" i="30"/>
  <c r="H33" i="30"/>
  <c r="G33" i="30"/>
  <c r="F33" i="30"/>
  <c r="E33" i="30"/>
  <c r="D33" i="30"/>
  <c r="L32" i="30"/>
  <c r="K32" i="30"/>
  <c r="J32" i="30"/>
  <c r="I32" i="30"/>
  <c r="H32" i="30"/>
  <c r="G32" i="30"/>
  <c r="F32" i="30"/>
  <c r="E32" i="30"/>
  <c r="D32" i="30"/>
  <c r="L31" i="30"/>
  <c r="K31" i="30"/>
  <c r="J31" i="30"/>
  <c r="I31" i="30"/>
  <c r="H31" i="30"/>
  <c r="G31" i="30"/>
  <c r="F31" i="30"/>
  <c r="E31" i="30"/>
  <c r="D31" i="30"/>
  <c r="L30" i="30"/>
  <c r="K30" i="30"/>
  <c r="J30" i="30"/>
  <c r="I30" i="30"/>
  <c r="H30" i="30"/>
  <c r="G30" i="30"/>
  <c r="F30" i="30"/>
  <c r="E30" i="30"/>
  <c r="D30" i="30"/>
  <c r="L29" i="30"/>
  <c r="K29" i="30"/>
  <c r="J29" i="30"/>
  <c r="I29" i="30"/>
  <c r="H29" i="30"/>
  <c r="G29" i="30"/>
  <c r="F29" i="30"/>
  <c r="E29" i="30"/>
  <c r="D29" i="30"/>
  <c r="L28" i="30"/>
  <c r="K28" i="30"/>
  <c r="J28" i="30"/>
  <c r="I28" i="30"/>
  <c r="H28" i="30"/>
  <c r="G28" i="30"/>
  <c r="F28" i="30"/>
  <c r="E28" i="30"/>
  <c r="D28" i="30"/>
  <c r="L27" i="30"/>
  <c r="K27" i="30"/>
  <c r="J27" i="30"/>
  <c r="I27" i="30"/>
  <c r="H27" i="30"/>
  <c r="G27" i="30"/>
  <c r="F27" i="30"/>
  <c r="E27" i="30"/>
  <c r="D27" i="30"/>
  <c r="L26" i="30"/>
  <c r="K26" i="30"/>
  <c r="J26" i="30"/>
  <c r="I26" i="30"/>
  <c r="H26" i="30"/>
  <c r="G26" i="30"/>
  <c r="F26" i="30"/>
  <c r="E26" i="30"/>
  <c r="D26" i="30"/>
  <c r="L25" i="30"/>
  <c r="K25" i="30"/>
  <c r="J25" i="30"/>
  <c r="I25" i="30"/>
  <c r="H25" i="30"/>
  <c r="G25" i="30"/>
  <c r="F25" i="30"/>
  <c r="E25" i="30"/>
  <c r="D25" i="30"/>
  <c r="L24" i="30"/>
  <c r="K24" i="30"/>
  <c r="J24" i="30"/>
  <c r="I24" i="30"/>
  <c r="H24" i="30"/>
  <c r="G24" i="30"/>
  <c r="F24" i="30"/>
  <c r="E24" i="30"/>
  <c r="D24" i="30"/>
  <c r="L23" i="30"/>
  <c r="K23" i="30"/>
  <c r="J23" i="30"/>
  <c r="I23" i="30"/>
  <c r="H23" i="30"/>
  <c r="G23" i="30"/>
  <c r="F23" i="30"/>
  <c r="E23" i="30"/>
  <c r="D23" i="30"/>
  <c r="L22" i="30"/>
  <c r="K22" i="30"/>
  <c r="J22" i="30"/>
  <c r="I22" i="30"/>
  <c r="H22" i="30"/>
  <c r="G22" i="30"/>
  <c r="F22" i="30"/>
  <c r="E22" i="30"/>
  <c r="D22" i="30"/>
  <c r="L21" i="30"/>
  <c r="K21" i="30"/>
  <c r="J21" i="30"/>
  <c r="I21" i="30"/>
  <c r="H21" i="30"/>
  <c r="G21" i="30"/>
  <c r="F21" i="30"/>
  <c r="E21" i="30"/>
  <c r="D21" i="30"/>
  <c r="L20" i="30"/>
  <c r="K20" i="30"/>
  <c r="J20" i="30"/>
  <c r="I20" i="30"/>
  <c r="H20" i="30"/>
  <c r="G20" i="30"/>
  <c r="F20" i="30"/>
  <c r="E20" i="30"/>
  <c r="D20" i="30"/>
  <c r="L19" i="30"/>
  <c r="K19" i="30"/>
  <c r="J19" i="30"/>
  <c r="I19" i="30"/>
  <c r="H19" i="30"/>
  <c r="G19" i="30"/>
  <c r="F19" i="30"/>
  <c r="E19" i="30"/>
  <c r="D19" i="30"/>
  <c r="L18" i="30"/>
  <c r="K18" i="30"/>
  <c r="J18" i="30"/>
  <c r="I18" i="30"/>
  <c r="H18" i="30"/>
  <c r="G18" i="30"/>
  <c r="F18" i="30"/>
  <c r="E18" i="30"/>
  <c r="D18" i="30"/>
  <c r="L17" i="30"/>
  <c r="K17" i="30"/>
  <c r="J17" i="30"/>
  <c r="I17" i="30"/>
  <c r="H17" i="30"/>
  <c r="G17" i="30"/>
  <c r="F17" i="30"/>
  <c r="E17" i="30"/>
  <c r="D17" i="30"/>
  <c r="L16" i="30"/>
  <c r="K16" i="30"/>
  <c r="J16" i="30"/>
  <c r="I16" i="30"/>
  <c r="H16" i="30"/>
  <c r="G16" i="30"/>
  <c r="F16" i="30"/>
  <c r="E16" i="30"/>
  <c r="D16" i="30"/>
  <c r="L122" i="30"/>
  <c r="K122" i="30"/>
  <c r="J122" i="30"/>
  <c r="I122" i="30"/>
  <c r="H122" i="30"/>
  <c r="G122" i="30"/>
  <c r="F122" i="30"/>
  <c r="E122" i="30"/>
  <c r="D122" i="30"/>
  <c r="L121" i="30"/>
  <c r="K121" i="30"/>
  <c r="J121" i="30"/>
  <c r="I121" i="30"/>
  <c r="H121" i="30"/>
  <c r="G121" i="30"/>
  <c r="F121" i="30"/>
  <c r="E121" i="30"/>
  <c r="D121" i="30"/>
  <c r="L120" i="30"/>
  <c r="K120" i="30"/>
  <c r="J120" i="30"/>
  <c r="I120" i="30"/>
  <c r="H120" i="30"/>
  <c r="G120" i="30"/>
  <c r="F120" i="30"/>
  <c r="E120" i="30"/>
  <c r="D120" i="30"/>
  <c r="L119" i="30"/>
  <c r="K119" i="30"/>
  <c r="J119" i="30"/>
  <c r="I119" i="30"/>
  <c r="H119" i="30"/>
  <c r="G119" i="30"/>
  <c r="F119" i="30"/>
  <c r="E119" i="30"/>
  <c r="D119" i="30"/>
  <c r="L118" i="30"/>
  <c r="K118" i="30"/>
  <c r="J118" i="30"/>
  <c r="I118" i="30"/>
  <c r="H118" i="30"/>
  <c r="G118" i="30"/>
  <c r="F118" i="30"/>
  <c r="E118" i="30"/>
  <c r="D118" i="30"/>
  <c r="L117" i="30"/>
  <c r="K117" i="30"/>
  <c r="J117" i="30"/>
  <c r="I117" i="30"/>
  <c r="H117" i="30"/>
  <c r="G117" i="30"/>
  <c r="F117" i="30"/>
  <c r="E117" i="30"/>
  <c r="D117" i="30"/>
  <c r="L116" i="30"/>
  <c r="K116" i="30"/>
  <c r="J116" i="30"/>
  <c r="I116" i="30"/>
  <c r="H116" i="30"/>
  <c r="G116" i="30"/>
  <c r="F116" i="30"/>
  <c r="E116" i="30"/>
  <c r="D116" i="30"/>
  <c r="L115" i="30"/>
  <c r="K115" i="30"/>
  <c r="J115" i="30"/>
  <c r="I115" i="30"/>
  <c r="H115" i="30"/>
  <c r="G115" i="30"/>
  <c r="F115" i="30"/>
  <c r="E115" i="30"/>
  <c r="D115" i="30"/>
  <c r="L114" i="30"/>
  <c r="K114" i="30"/>
  <c r="J114" i="30"/>
  <c r="I114" i="30"/>
  <c r="H114" i="30"/>
  <c r="G114" i="30"/>
  <c r="F114" i="30"/>
  <c r="E114" i="30"/>
  <c r="D114" i="30"/>
  <c r="L113" i="30"/>
  <c r="K113" i="30"/>
  <c r="J113" i="30"/>
  <c r="I113" i="30"/>
  <c r="H113" i="30"/>
  <c r="G113" i="30"/>
  <c r="F113" i="30"/>
  <c r="E113" i="30"/>
  <c r="D113" i="30"/>
  <c r="L112" i="30"/>
  <c r="K112" i="30"/>
  <c r="J112" i="30"/>
  <c r="I112" i="30"/>
  <c r="H112" i="30"/>
  <c r="G112" i="30"/>
  <c r="F112" i="30"/>
  <c r="E112" i="30"/>
  <c r="D112" i="30"/>
  <c r="L111" i="30"/>
  <c r="K111" i="30"/>
  <c r="J111" i="30"/>
  <c r="I111" i="30"/>
  <c r="H111" i="30"/>
  <c r="G111" i="30"/>
  <c r="F111" i="30"/>
  <c r="E111" i="30"/>
  <c r="D111" i="30"/>
  <c r="L110" i="30"/>
  <c r="K110" i="30"/>
  <c r="J110" i="30"/>
  <c r="I110" i="30"/>
  <c r="H110" i="30"/>
  <c r="G110" i="30"/>
  <c r="F110" i="30"/>
  <c r="E110" i="30"/>
  <c r="D110" i="30"/>
  <c r="L123" i="30"/>
  <c r="K123" i="30"/>
  <c r="J123" i="30"/>
  <c r="I123" i="30"/>
  <c r="H123" i="30"/>
  <c r="G123" i="30"/>
  <c r="F123" i="30"/>
  <c r="E123" i="30"/>
  <c r="L11" i="29" l="1"/>
  <c r="K11" i="29"/>
  <c r="J11" i="29"/>
  <c r="I11" i="29"/>
  <c r="H11" i="29"/>
  <c r="G11" i="29"/>
  <c r="F11" i="29"/>
  <c r="E11" i="29"/>
  <c r="D11" i="29"/>
  <c r="J126" i="29" l="1"/>
  <c r="J137" i="29"/>
  <c r="J136" i="29"/>
  <c r="J135" i="29"/>
  <c r="J134" i="29"/>
  <c r="J133" i="29"/>
  <c r="J132" i="29"/>
  <c r="J131" i="29"/>
  <c r="J130" i="29"/>
  <c r="J129" i="29"/>
  <c r="J128" i="29"/>
  <c r="J127" i="29"/>
  <c r="E126" i="29"/>
  <c r="E137" i="29"/>
  <c r="E136" i="29"/>
  <c r="E135" i="29"/>
  <c r="E134" i="29"/>
  <c r="E133" i="29"/>
  <c r="E132" i="29"/>
  <c r="E131" i="29"/>
  <c r="E130" i="29"/>
  <c r="E129" i="29"/>
  <c r="E128" i="29"/>
  <c r="E127" i="29"/>
  <c r="F126" i="29"/>
  <c r="F137" i="29"/>
  <c r="F136" i="29"/>
  <c r="F135" i="29"/>
  <c r="F134" i="29"/>
  <c r="F133" i="29"/>
  <c r="F132" i="29"/>
  <c r="F131" i="29"/>
  <c r="F130" i="29"/>
  <c r="F129" i="29"/>
  <c r="F128" i="29"/>
  <c r="F127" i="29"/>
  <c r="G126" i="29"/>
  <c r="G137" i="29"/>
  <c r="G136" i="29"/>
  <c r="G135" i="29"/>
  <c r="G134" i="29"/>
  <c r="G133" i="29"/>
  <c r="G132" i="29"/>
  <c r="G131" i="29"/>
  <c r="G130" i="29"/>
  <c r="G129" i="29"/>
  <c r="G128" i="29"/>
  <c r="G127" i="29"/>
  <c r="K126" i="29"/>
  <c r="K137" i="29"/>
  <c r="K136" i="29"/>
  <c r="K135" i="29"/>
  <c r="K134" i="29"/>
  <c r="K133" i="29"/>
  <c r="K132" i="29"/>
  <c r="K131" i="29"/>
  <c r="K130" i="29"/>
  <c r="K129" i="29"/>
  <c r="K128" i="29"/>
  <c r="K127" i="29"/>
  <c r="I126" i="29"/>
  <c r="I137" i="29"/>
  <c r="I136" i="29"/>
  <c r="I135" i="29"/>
  <c r="I134" i="29"/>
  <c r="I133" i="29"/>
  <c r="I132" i="29"/>
  <c r="I131" i="29"/>
  <c r="I130" i="29"/>
  <c r="I129" i="29"/>
  <c r="I128" i="29"/>
  <c r="I127" i="29"/>
  <c r="D126" i="29"/>
  <c r="D137" i="29"/>
  <c r="D136" i="29"/>
  <c r="D135" i="29"/>
  <c r="D134" i="29"/>
  <c r="D133" i="29"/>
  <c r="D132" i="29"/>
  <c r="D131" i="29"/>
  <c r="D130" i="29"/>
  <c r="D129" i="29"/>
  <c r="D128" i="29"/>
  <c r="D127" i="29"/>
  <c r="H126" i="29"/>
  <c r="H137" i="29"/>
  <c r="H136" i="29"/>
  <c r="H135" i="29"/>
  <c r="H134" i="29"/>
  <c r="H133" i="29"/>
  <c r="H132" i="29"/>
  <c r="H131" i="29"/>
  <c r="H130" i="29"/>
  <c r="H129" i="29"/>
  <c r="H128" i="29"/>
  <c r="H127" i="29"/>
  <c r="L126" i="29"/>
  <c r="L137" i="29"/>
  <c r="L136" i="29"/>
  <c r="L135" i="29"/>
  <c r="L134" i="29"/>
  <c r="L133" i="29"/>
  <c r="L132" i="29"/>
  <c r="L131" i="29"/>
  <c r="L130" i="29"/>
  <c r="L129" i="29"/>
  <c r="L128" i="29"/>
  <c r="L127" i="29"/>
  <c r="Y112" i="19" l="1"/>
  <c r="Y115" i="21" s="1"/>
  <c r="X112" i="19"/>
  <c r="X115" i="21" s="1"/>
  <c r="W112" i="19"/>
  <c r="W115" i="21" s="1"/>
  <c r="U112" i="19"/>
  <c r="U115" i="21" s="1"/>
  <c r="T112" i="19"/>
  <c r="T115" i="21" s="1"/>
  <c r="S112" i="19"/>
  <c r="S115" i="21" s="1"/>
  <c r="Q112" i="19"/>
  <c r="Q115" i="21" s="1"/>
  <c r="P112" i="19"/>
  <c r="P115" i="21" s="1"/>
  <c r="O112" i="19"/>
  <c r="L115" i="21" s="1"/>
  <c r="N112" i="19"/>
  <c r="K115" i="21" s="1"/>
  <c r="M112" i="19"/>
  <c r="J115" i="21" s="1"/>
  <c r="L112" i="19"/>
  <c r="M115" i="21" s="1"/>
  <c r="K112" i="19"/>
  <c r="J112" i="19"/>
  <c r="G115" i="21" s="1"/>
  <c r="I112" i="19"/>
  <c r="H115" i="21" s="1"/>
  <c r="H112" i="19"/>
  <c r="O115" i="21" s="1"/>
  <c r="G112" i="19"/>
  <c r="F115" i="21" s="1"/>
  <c r="F112" i="19"/>
  <c r="E115" i="21" s="1"/>
  <c r="E112" i="19"/>
  <c r="D115" i="21" s="1"/>
  <c r="D112" i="19"/>
  <c r="C115" i="21" s="1"/>
  <c r="Y75" i="28"/>
  <c r="X75" i="28"/>
  <c r="W75" i="28"/>
  <c r="U75" i="28"/>
  <c r="T75" i="28"/>
  <c r="S75" i="28"/>
  <c r="Y74" i="28"/>
  <c r="X74" i="28"/>
  <c r="W74" i="28"/>
  <c r="U74" i="28"/>
  <c r="T74" i="28"/>
  <c r="S74" i="28"/>
  <c r="Y73" i="28"/>
  <c r="X73" i="28"/>
  <c r="W73" i="28"/>
  <c r="U73" i="28"/>
  <c r="T73" i="28"/>
  <c r="S73" i="28"/>
  <c r="Y72" i="28"/>
  <c r="X72" i="28"/>
  <c r="W72" i="28"/>
  <c r="U72" i="28"/>
  <c r="T72" i="28"/>
  <c r="S72" i="28"/>
  <c r="Y71" i="28"/>
  <c r="X71" i="28"/>
  <c r="W71" i="28"/>
  <c r="U71" i="28"/>
  <c r="T71" i="28"/>
  <c r="S71" i="28"/>
  <c r="Y70" i="28"/>
  <c r="X70" i="28"/>
  <c r="W70" i="28"/>
  <c r="U70" i="28"/>
  <c r="T70" i="28"/>
  <c r="S70" i="28"/>
  <c r="Y69" i="28"/>
  <c r="X69" i="28"/>
  <c r="W69" i="28"/>
  <c r="U69" i="28"/>
  <c r="T69" i="28"/>
  <c r="S69" i="28"/>
  <c r="Y68" i="28"/>
  <c r="X68" i="28"/>
  <c r="W68" i="28"/>
  <c r="U68" i="28"/>
  <c r="T68" i="28"/>
  <c r="S68" i="28"/>
  <c r="Y67" i="28"/>
  <c r="X67" i="28"/>
  <c r="W67" i="28"/>
  <c r="U67" i="28"/>
  <c r="T67" i="28"/>
  <c r="S67" i="28"/>
  <c r="Y66" i="28"/>
  <c r="X66" i="28"/>
  <c r="W66" i="28"/>
  <c r="U66" i="28"/>
  <c r="T66" i="28"/>
  <c r="S66" i="28"/>
  <c r="Y65" i="28"/>
  <c r="X65" i="28"/>
  <c r="W65" i="28"/>
  <c r="U65" i="28"/>
  <c r="T65" i="28"/>
  <c r="S65" i="28"/>
  <c r="Y64" i="28"/>
  <c r="X64" i="28"/>
  <c r="W64" i="28"/>
  <c r="U64" i="28"/>
  <c r="T64" i="28"/>
  <c r="S64" i="28"/>
  <c r="Y63" i="28"/>
  <c r="X63" i="28"/>
  <c r="W63" i="28"/>
  <c r="U63" i="28"/>
  <c r="T63" i="28"/>
  <c r="S63" i="28"/>
  <c r="Y62" i="28"/>
  <c r="X62" i="28"/>
  <c r="W62" i="28"/>
  <c r="U62" i="28"/>
  <c r="T62" i="28"/>
  <c r="S62" i="28"/>
  <c r="Y61" i="28"/>
  <c r="X61" i="28"/>
  <c r="W61" i="28"/>
  <c r="U61" i="28"/>
  <c r="T61" i="28"/>
  <c r="S61" i="28"/>
  <c r="Y60" i="28"/>
  <c r="X60" i="28"/>
  <c r="W60" i="28"/>
  <c r="U60" i="28"/>
  <c r="T60" i="28"/>
  <c r="S60" i="28"/>
  <c r="Y59" i="28"/>
  <c r="X59" i="28"/>
  <c r="W59" i="28"/>
  <c r="U59" i="28"/>
  <c r="T59" i="28"/>
  <c r="S59" i="28"/>
  <c r="Y58" i="28"/>
  <c r="X58" i="28"/>
  <c r="W58" i="28"/>
  <c r="U58" i="28"/>
  <c r="T58" i="28"/>
  <c r="S58" i="28"/>
  <c r="Y57" i="28"/>
  <c r="X57" i="28"/>
  <c r="W57" i="28"/>
  <c r="U57" i="28"/>
  <c r="T57" i="28"/>
  <c r="S57" i="28"/>
  <c r="Y56" i="28"/>
  <c r="X56" i="28"/>
  <c r="W56" i="28"/>
  <c r="U56" i="28"/>
  <c r="T56" i="28"/>
  <c r="S56" i="28"/>
  <c r="Y55" i="28"/>
  <c r="X55" i="28"/>
  <c r="W55" i="28"/>
  <c r="U55" i="28"/>
  <c r="T55" i="28"/>
  <c r="S55" i="28"/>
  <c r="Y54" i="28"/>
  <c r="X54" i="28"/>
  <c r="W54" i="28"/>
  <c r="U54" i="28"/>
  <c r="T54" i="28"/>
  <c r="S54" i="28"/>
  <c r="Y53" i="28"/>
  <c r="X53" i="28"/>
  <c r="W53" i="28"/>
  <c r="U53" i="28"/>
  <c r="T53" i="28"/>
  <c r="S53" i="28"/>
  <c r="Y52" i="28"/>
  <c r="X52" i="28"/>
  <c r="W52" i="28"/>
  <c r="U52" i="28"/>
  <c r="T52" i="28"/>
  <c r="S52" i="28"/>
  <c r="Y51" i="28"/>
  <c r="X51" i="28"/>
  <c r="W51" i="28"/>
  <c r="U51" i="28"/>
  <c r="T51" i="28"/>
  <c r="S51" i="28"/>
  <c r="Y50" i="28"/>
  <c r="X50" i="28"/>
  <c r="W50" i="28"/>
  <c r="U50" i="28"/>
  <c r="T50" i="28"/>
  <c r="S50" i="28"/>
  <c r="Y49" i="28"/>
  <c r="X49" i="28"/>
  <c r="W49" i="28"/>
  <c r="U49" i="28"/>
  <c r="T49" i="28"/>
  <c r="S49" i="28"/>
  <c r="W48" i="28"/>
  <c r="S48" i="28"/>
  <c r="W47" i="28"/>
  <c r="S47" i="28"/>
  <c r="W46" i="28"/>
  <c r="S46" i="28"/>
  <c r="W45" i="28"/>
  <c r="S45" i="28"/>
  <c r="W44" i="28"/>
  <c r="S44" i="28"/>
  <c r="W43" i="28"/>
  <c r="S43" i="28"/>
  <c r="W42" i="28"/>
  <c r="S42" i="28"/>
  <c r="W41" i="28"/>
  <c r="S41" i="28"/>
  <c r="W40" i="28"/>
  <c r="S40" i="28"/>
  <c r="W39" i="28"/>
  <c r="S39" i="28"/>
  <c r="W38" i="28"/>
  <c r="S38" i="28"/>
  <c r="W37" i="28"/>
  <c r="S37" i="28"/>
  <c r="W36" i="28"/>
  <c r="S36" i="28"/>
  <c r="W35" i="28"/>
  <c r="S35" i="28"/>
  <c r="W34" i="28"/>
  <c r="S34" i="28"/>
  <c r="W33" i="28"/>
  <c r="S33" i="28"/>
  <c r="W32" i="28"/>
  <c r="S32" i="28"/>
  <c r="W31" i="28"/>
  <c r="S31" i="28"/>
  <c r="W30" i="28"/>
  <c r="S30" i="28"/>
  <c r="W29" i="28"/>
  <c r="S29" i="28"/>
  <c r="W28" i="28"/>
  <c r="S28" i="28"/>
  <c r="W27" i="28"/>
  <c r="S27" i="28"/>
  <c r="W26" i="28"/>
  <c r="S26" i="28"/>
  <c r="W25" i="28"/>
  <c r="S25" i="28"/>
  <c r="W24" i="28"/>
  <c r="S24" i="28"/>
  <c r="W23" i="28"/>
  <c r="S23" i="28"/>
  <c r="W22" i="28"/>
  <c r="S22" i="28"/>
  <c r="W21" i="28"/>
  <c r="S21" i="28"/>
  <c r="W20" i="28"/>
  <c r="S20" i="28"/>
  <c r="W19" i="28"/>
  <c r="S19" i="28"/>
  <c r="W18" i="28"/>
  <c r="S18" i="28"/>
  <c r="W17" i="28"/>
  <c r="S17" i="28"/>
  <c r="W16" i="28"/>
  <c r="S16" i="28"/>
  <c r="AL131" i="19"/>
  <c r="AL132" i="19" s="1"/>
  <c r="AM115" i="19"/>
  <c r="AQ116" i="19"/>
  <c r="AM117" i="19"/>
  <c r="AQ118" i="19"/>
  <c r="AM119" i="19"/>
  <c r="AQ120" i="19"/>
  <c r="AM121" i="19"/>
  <c r="AM123" i="19"/>
  <c r="AQ124" i="19"/>
  <c r="AQ126" i="19"/>
  <c r="AM127" i="19"/>
  <c r="AQ128" i="19"/>
  <c r="AM129" i="19"/>
  <c r="AQ130" i="19"/>
  <c r="AM118" i="19"/>
  <c r="AQ125" i="19"/>
  <c r="AU122" i="19"/>
  <c r="AQ115" i="19"/>
  <c r="AM116" i="19"/>
  <c r="AU116" i="19"/>
  <c r="AQ117" i="19"/>
  <c r="AU117" i="19"/>
  <c r="AU118" i="19"/>
  <c r="AQ119" i="19"/>
  <c r="AM120" i="19"/>
  <c r="AU120" i="19"/>
  <c r="AQ121" i="19"/>
  <c r="AM122" i="19"/>
  <c r="AQ122" i="19"/>
  <c r="AQ123" i="19"/>
  <c r="AU123" i="19"/>
  <c r="AU124" i="19"/>
  <c r="AM125" i="19"/>
  <c r="AM126" i="19"/>
  <c r="AU126" i="19"/>
  <c r="AQ127" i="19"/>
  <c r="AM128" i="19"/>
  <c r="AU128" i="19"/>
  <c r="AQ129" i="19"/>
  <c r="AU129" i="19"/>
  <c r="AU130" i="19"/>
  <c r="AM131" i="19"/>
  <c r="AV115" i="19"/>
  <c r="AV116" i="19"/>
  <c r="AV117" i="19"/>
  <c r="AV118" i="19"/>
  <c r="AV119" i="19"/>
  <c r="AV120" i="19"/>
  <c r="AV121" i="19"/>
  <c r="AV122" i="19"/>
  <c r="AV123" i="19"/>
  <c r="AV124" i="19"/>
  <c r="AV125" i="19"/>
  <c r="AV126" i="19"/>
  <c r="AV127" i="19"/>
  <c r="AV128" i="19"/>
  <c r="AV129" i="19"/>
  <c r="AV130" i="19"/>
  <c r="AV131" i="19"/>
  <c r="AR115" i="19"/>
  <c r="AR116" i="19"/>
  <c r="AR117" i="19"/>
  <c r="AR118" i="19"/>
  <c r="AR119" i="19"/>
  <c r="AR120" i="19"/>
  <c r="AR121" i="19"/>
  <c r="AR122" i="19"/>
  <c r="AR123" i="19"/>
  <c r="AR124" i="19"/>
  <c r="AR125" i="19"/>
  <c r="AR126" i="19"/>
  <c r="AR127" i="19"/>
  <c r="AR128" i="19"/>
  <c r="AR129" i="19"/>
  <c r="AR130" i="19"/>
  <c r="AR131" i="19"/>
  <c r="AN114" i="19"/>
  <c r="AN115" i="19"/>
  <c r="AN116" i="19"/>
  <c r="AN117" i="19"/>
  <c r="AN118" i="19"/>
  <c r="AN119" i="19"/>
  <c r="AN120" i="19"/>
  <c r="AN121" i="19"/>
  <c r="AN122" i="19"/>
  <c r="AN123" i="19"/>
  <c r="AN124" i="19"/>
  <c r="AN125" i="19"/>
  <c r="AN126" i="19"/>
  <c r="AN127" i="19"/>
  <c r="AN128" i="19"/>
  <c r="AN129" i="19"/>
  <c r="AN130" i="19"/>
  <c r="AN131" i="19"/>
  <c r="C114" i="21"/>
  <c r="D114" i="21"/>
  <c r="E114" i="21"/>
  <c r="F114" i="21"/>
  <c r="G114" i="21"/>
  <c r="H114" i="21"/>
  <c r="J114" i="21"/>
  <c r="K114" i="21"/>
  <c r="L114" i="21"/>
  <c r="M114" i="21"/>
  <c r="N114" i="21"/>
  <c r="O114" i="21"/>
  <c r="P114" i="21"/>
  <c r="Q114" i="21"/>
  <c r="S114" i="21"/>
  <c r="T114" i="21"/>
  <c r="U114" i="21"/>
  <c r="V114" i="21"/>
  <c r="W114" i="21"/>
  <c r="X114" i="21"/>
  <c r="Y114" i="21"/>
  <c r="Z114" i="21"/>
  <c r="AA114" i="21"/>
  <c r="C113" i="21"/>
  <c r="D113" i="21"/>
  <c r="E113" i="21"/>
  <c r="F113" i="21"/>
  <c r="G113" i="21"/>
  <c r="H113" i="21"/>
  <c r="J113" i="21"/>
  <c r="K113" i="21"/>
  <c r="L113" i="21"/>
  <c r="M113" i="21"/>
  <c r="N113" i="21"/>
  <c r="O113" i="21"/>
  <c r="P113" i="21"/>
  <c r="Q113" i="21"/>
  <c r="S113" i="21"/>
  <c r="T113" i="21"/>
  <c r="U113" i="21"/>
  <c r="V113" i="21"/>
  <c r="W113" i="21"/>
  <c r="X113" i="21"/>
  <c r="Y113" i="21"/>
  <c r="Z113" i="21"/>
  <c r="AA113" i="21"/>
  <c r="C112" i="21"/>
  <c r="D112" i="21"/>
  <c r="E112" i="21"/>
  <c r="F112" i="21"/>
  <c r="G112" i="21"/>
  <c r="H112" i="21"/>
  <c r="J112" i="21"/>
  <c r="K112" i="21"/>
  <c r="L112" i="21"/>
  <c r="M112" i="21"/>
  <c r="N112" i="21"/>
  <c r="O112" i="21"/>
  <c r="P112" i="21"/>
  <c r="Q112" i="21"/>
  <c r="S112" i="21"/>
  <c r="T112" i="21"/>
  <c r="U112" i="21"/>
  <c r="V112" i="21"/>
  <c r="W112" i="21"/>
  <c r="X112" i="21"/>
  <c r="Y112" i="21"/>
  <c r="Z112" i="21"/>
  <c r="AA112" i="21"/>
  <c r="C111" i="21"/>
  <c r="D111" i="21"/>
  <c r="E111" i="21"/>
  <c r="F111" i="21"/>
  <c r="G111" i="21"/>
  <c r="H111" i="21"/>
  <c r="J111" i="21"/>
  <c r="K111" i="21"/>
  <c r="L111" i="21"/>
  <c r="M111" i="21"/>
  <c r="N111" i="21"/>
  <c r="O111" i="21"/>
  <c r="P111" i="21"/>
  <c r="Q111" i="21"/>
  <c r="S111" i="21"/>
  <c r="T111" i="21"/>
  <c r="U111" i="21"/>
  <c r="V111" i="21"/>
  <c r="W111" i="21"/>
  <c r="X111" i="21"/>
  <c r="Y111" i="21"/>
  <c r="Z111" i="21"/>
  <c r="AA111" i="21"/>
  <c r="C110" i="21"/>
  <c r="D110" i="21"/>
  <c r="E110" i="21"/>
  <c r="F110" i="21"/>
  <c r="G110" i="21"/>
  <c r="H110" i="21"/>
  <c r="J110" i="21"/>
  <c r="K110" i="21"/>
  <c r="L110" i="21"/>
  <c r="M110" i="21"/>
  <c r="N110" i="21"/>
  <c r="O110" i="21"/>
  <c r="P110" i="21"/>
  <c r="Q110" i="21"/>
  <c r="S110" i="21"/>
  <c r="T110" i="21"/>
  <c r="U110" i="21"/>
  <c r="V110" i="21"/>
  <c r="W110" i="21"/>
  <c r="X110" i="21"/>
  <c r="Y110" i="21"/>
  <c r="Z110" i="21"/>
  <c r="AA110" i="21"/>
  <c r="C109" i="21"/>
  <c r="D109" i="21"/>
  <c r="E109" i="21"/>
  <c r="F109" i="21"/>
  <c r="G109" i="21"/>
  <c r="H109" i="21"/>
  <c r="J109" i="21"/>
  <c r="K109" i="21"/>
  <c r="L109" i="21"/>
  <c r="M109" i="21"/>
  <c r="N109" i="21"/>
  <c r="O109" i="21"/>
  <c r="P109" i="21"/>
  <c r="Q109" i="21"/>
  <c r="S109" i="21"/>
  <c r="T109" i="21"/>
  <c r="U109" i="21"/>
  <c r="V109" i="21"/>
  <c r="W109" i="21"/>
  <c r="X109" i="21"/>
  <c r="Y109" i="21"/>
  <c r="Z109" i="21"/>
  <c r="AA109" i="21"/>
  <c r="C108" i="21"/>
  <c r="D108" i="21"/>
  <c r="E108" i="21"/>
  <c r="F108" i="21"/>
  <c r="G108" i="21"/>
  <c r="H108" i="21"/>
  <c r="J108" i="21"/>
  <c r="K108" i="21"/>
  <c r="L108" i="21"/>
  <c r="M108" i="21"/>
  <c r="N108" i="21"/>
  <c r="O108" i="21"/>
  <c r="P108" i="21"/>
  <c r="Q108" i="21"/>
  <c r="S108" i="21"/>
  <c r="T108" i="21"/>
  <c r="U108" i="21"/>
  <c r="V108" i="21"/>
  <c r="W108" i="21"/>
  <c r="X108" i="21"/>
  <c r="Y108" i="21"/>
  <c r="Z108" i="21"/>
  <c r="AA108" i="21"/>
  <c r="C107" i="21"/>
  <c r="D107" i="21"/>
  <c r="E107" i="21"/>
  <c r="F107" i="21"/>
  <c r="G107" i="21"/>
  <c r="H107" i="21"/>
  <c r="J107" i="21"/>
  <c r="K107" i="21"/>
  <c r="L107" i="21"/>
  <c r="M107" i="21"/>
  <c r="N107" i="21"/>
  <c r="O107" i="21"/>
  <c r="P107" i="21"/>
  <c r="Q107" i="21"/>
  <c r="S107" i="21"/>
  <c r="T107" i="21"/>
  <c r="U107" i="21"/>
  <c r="V107" i="21"/>
  <c r="W107" i="21"/>
  <c r="X107" i="21"/>
  <c r="Y107" i="21"/>
  <c r="Z107" i="21"/>
  <c r="AA107" i="21"/>
  <c r="C105" i="21"/>
  <c r="D105" i="21"/>
  <c r="E105" i="21"/>
  <c r="F105" i="21"/>
  <c r="G105" i="21"/>
  <c r="C106" i="21"/>
  <c r="D106" i="21"/>
  <c r="E106" i="21"/>
  <c r="F106" i="21"/>
  <c r="G106" i="21"/>
  <c r="H106" i="21"/>
  <c r="J106" i="21"/>
  <c r="K106" i="21"/>
  <c r="L106" i="21"/>
  <c r="M106" i="21"/>
  <c r="N106" i="21"/>
  <c r="O106" i="21"/>
  <c r="P106" i="21"/>
  <c r="Q106" i="21"/>
  <c r="S106" i="21"/>
  <c r="T106" i="21"/>
  <c r="U106" i="21"/>
  <c r="V106" i="21"/>
  <c r="W106" i="21"/>
  <c r="X106" i="21"/>
  <c r="Y106" i="21"/>
  <c r="Z106" i="21"/>
  <c r="AA106" i="21"/>
  <c r="AA105" i="21"/>
  <c r="Z105" i="21"/>
  <c r="Y105" i="21"/>
  <c r="X105" i="21"/>
  <c r="W105" i="21"/>
  <c r="V105" i="21"/>
  <c r="U105" i="21"/>
  <c r="T105" i="21"/>
  <c r="S105" i="21"/>
  <c r="Q105" i="21"/>
  <c r="P105" i="21"/>
  <c r="O105" i="21"/>
  <c r="N105" i="21"/>
  <c r="M105" i="21"/>
  <c r="L105" i="21"/>
  <c r="K105" i="21"/>
  <c r="J105" i="21"/>
  <c r="H105" i="21"/>
  <c r="AA104" i="21"/>
  <c r="Z104" i="21"/>
  <c r="Y104" i="21"/>
  <c r="X104" i="21"/>
  <c r="W104" i="21"/>
  <c r="V104" i="21"/>
  <c r="U104" i="21"/>
  <c r="T104" i="21"/>
  <c r="S104" i="21"/>
  <c r="Q104" i="21"/>
  <c r="P104" i="21"/>
  <c r="O104" i="21"/>
  <c r="N104" i="21"/>
  <c r="M104" i="21"/>
  <c r="L104" i="21"/>
  <c r="K104" i="21"/>
  <c r="J104" i="21"/>
  <c r="H104" i="21"/>
  <c r="G104" i="21"/>
  <c r="F104" i="21"/>
  <c r="E104" i="21"/>
  <c r="D104" i="21"/>
  <c r="C104" i="21"/>
  <c r="AA103" i="21"/>
  <c r="Z103" i="21"/>
  <c r="Y103" i="21"/>
  <c r="X103" i="21"/>
  <c r="W103" i="21"/>
  <c r="V103" i="21"/>
  <c r="U103" i="21"/>
  <c r="T103" i="21"/>
  <c r="S103" i="21"/>
  <c r="Q103" i="21"/>
  <c r="P103" i="21"/>
  <c r="O103" i="21"/>
  <c r="N103" i="21"/>
  <c r="M103" i="21"/>
  <c r="L103" i="21"/>
  <c r="K103" i="21"/>
  <c r="J103" i="21"/>
  <c r="H103" i="21"/>
  <c r="G103" i="21"/>
  <c r="F103" i="21"/>
  <c r="E103" i="21"/>
  <c r="D103" i="21"/>
  <c r="C103" i="21"/>
  <c r="C102" i="21"/>
  <c r="AA102" i="21"/>
  <c r="Z102" i="21"/>
  <c r="Y102" i="21"/>
  <c r="X102" i="21"/>
  <c r="W102" i="21"/>
  <c r="V102" i="21"/>
  <c r="U102" i="21"/>
  <c r="T102" i="21"/>
  <c r="Q102" i="21"/>
  <c r="S102" i="21"/>
  <c r="O102" i="21"/>
  <c r="P102" i="21"/>
  <c r="M102" i="21"/>
  <c r="N102" i="21"/>
  <c r="L102" i="21"/>
  <c r="K102" i="21"/>
  <c r="J102" i="21"/>
  <c r="H102" i="21"/>
  <c r="G102" i="21"/>
  <c r="F102" i="21"/>
  <c r="E102" i="21"/>
  <c r="D102" i="21"/>
  <c r="F101" i="21"/>
  <c r="AA101" i="21"/>
  <c r="Z101" i="21"/>
  <c r="Y101" i="21"/>
  <c r="X101" i="21"/>
  <c r="W101" i="21"/>
  <c r="V101" i="21"/>
  <c r="U101" i="21"/>
  <c r="T101" i="21"/>
  <c r="S101" i="21"/>
  <c r="Q101" i="21"/>
  <c r="P101" i="21"/>
  <c r="O101" i="21"/>
  <c r="N101" i="21"/>
  <c r="M101" i="21"/>
  <c r="L101" i="21"/>
  <c r="K101" i="21"/>
  <c r="J101" i="21"/>
  <c r="H101" i="21"/>
  <c r="G101" i="21"/>
  <c r="F100" i="21"/>
  <c r="E101" i="21"/>
  <c r="D101" i="21"/>
  <c r="C101" i="21"/>
  <c r="AA100" i="21"/>
  <c r="Z100" i="21"/>
  <c r="Y100" i="21"/>
  <c r="X100" i="21"/>
  <c r="W100" i="21"/>
  <c r="V100" i="21"/>
  <c r="U100" i="21"/>
  <c r="T100" i="21"/>
  <c r="S100" i="21"/>
  <c r="Q100" i="21"/>
  <c r="P100" i="21"/>
  <c r="O100" i="21"/>
  <c r="N100" i="21"/>
  <c r="M100" i="21"/>
  <c r="L100" i="21"/>
  <c r="K100" i="21"/>
  <c r="J100" i="21"/>
  <c r="H100" i="21"/>
  <c r="G100" i="21"/>
  <c r="E100" i="21"/>
  <c r="D100" i="21"/>
  <c r="C100" i="21"/>
  <c r="Q99" i="21"/>
  <c r="P99" i="21"/>
  <c r="O99" i="21"/>
  <c r="N99" i="21"/>
  <c r="M99" i="21"/>
  <c r="L99" i="21"/>
  <c r="K99" i="21"/>
  <c r="J99" i="21"/>
  <c r="G99" i="21"/>
  <c r="AA99" i="21"/>
  <c r="Z99" i="21"/>
  <c r="Y99" i="21"/>
  <c r="X99" i="21"/>
  <c r="W99" i="21"/>
  <c r="V99" i="21"/>
  <c r="U99" i="21"/>
  <c r="T99" i="21"/>
  <c r="S99" i="21"/>
  <c r="D99" i="21"/>
  <c r="E99" i="21"/>
  <c r="F99" i="21"/>
  <c r="H99" i="21"/>
  <c r="C99" i="21"/>
  <c r="AA98" i="21"/>
  <c r="Z98" i="21"/>
  <c r="Y98" i="21"/>
  <c r="X98" i="21"/>
  <c r="W98" i="21"/>
  <c r="V98" i="21"/>
  <c r="U98" i="21"/>
  <c r="T98" i="21"/>
  <c r="S98" i="21"/>
  <c r="Q98" i="21"/>
  <c r="P98" i="21"/>
  <c r="O98" i="21"/>
  <c r="N98" i="21"/>
  <c r="M98" i="21"/>
  <c r="L98" i="21"/>
  <c r="K98" i="21"/>
  <c r="J98" i="21"/>
  <c r="H98" i="21"/>
  <c r="G98" i="21"/>
  <c r="F98" i="21"/>
  <c r="E98" i="21"/>
  <c r="D98" i="21"/>
  <c r="C98" i="21"/>
  <c r="AA97" i="21"/>
  <c r="Z97" i="21"/>
  <c r="Y97" i="21"/>
  <c r="X97" i="21"/>
  <c r="W97" i="21"/>
  <c r="V97" i="21"/>
  <c r="U97" i="21"/>
  <c r="T97" i="21"/>
  <c r="S97" i="21"/>
  <c r="Q97" i="21"/>
  <c r="P97" i="21"/>
  <c r="O97" i="21"/>
  <c r="N97" i="21"/>
  <c r="M97" i="21"/>
  <c r="L97" i="21"/>
  <c r="K97" i="21"/>
  <c r="J97" i="21"/>
  <c r="H97" i="21"/>
  <c r="G97" i="21"/>
  <c r="F97" i="21"/>
  <c r="E97" i="21"/>
  <c r="D97" i="21"/>
  <c r="C97" i="21"/>
  <c r="AA96" i="21"/>
  <c r="Z96" i="21"/>
  <c r="Y96" i="21"/>
  <c r="X96" i="21"/>
  <c r="W96" i="21"/>
  <c r="V96" i="21"/>
  <c r="U96" i="21"/>
  <c r="T96" i="21"/>
  <c r="S96" i="21"/>
  <c r="Q96" i="21"/>
  <c r="P96" i="21"/>
  <c r="O96" i="21"/>
  <c r="N96" i="21"/>
  <c r="M96" i="21"/>
  <c r="L96" i="21"/>
  <c r="K96" i="21"/>
  <c r="J96" i="21"/>
  <c r="H96" i="21"/>
  <c r="G96" i="21"/>
  <c r="F96" i="21"/>
  <c r="E96" i="21"/>
  <c r="D96" i="21"/>
  <c r="C96" i="21"/>
  <c r="AA95" i="21"/>
  <c r="Z95" i="21"/>
  <c r="Y95" i="21"/>
  <c r="X95" i="21"/>
  <c r="W95" i="21"/>
  <c r="V95" i="21"/>
  <c r="U95" i="21"/>
  <c r="T95" i="21"/>
  <c r="S95" i="21"/>
  <c r="Q95" i="21"/>
  <c r="P95" i="21"/>
  <c r="O95" i="21"/>
  <c r="N95" i="21"/>
  <c r="M95" i="21"/>
  <c r="L95" i="21"/>
  <c r="K95" i="21"/>
  <c r="J95" i="21"/>
  <c r="H95" i="21"/>
  <c r="G95" i="21"/>
  <c r="F95" i="21"/>
  <c r="E95" i="21"/>
  <c r="D95" i="21"/>
  <c r="C95" i="21"/>
  <c r="F94" i="21"/>
  <c r="E94" i="21"/>
  <c r="D94" i="21"/>
  <c r="C94" i="21"/>
  <c r="AA94" i="21"/>
  <c r="Z94" i="21"/>
  <c r="Y94" i="21"/>
  <c r="X94" i="21"/>
  <c r="W94" i="21"/>
  <c r="V94" i="21"/>
  <c r="U94" i="21"/>
  <c r="T94" i="21"/>
  <c r="S94" i="21"/>
  <c r="Q94" i="21"/>
  <c r="P94" i="21"/>
  <c r="O94" i="21"/>
  <c r="N94" i="21"/>
  <c r="M94" i="21"/>
  <c r="L94" i="21"/>
  <c r="K94" i="21"/>
  <c r="J94" i="21"/>
  <c r="H94" i="21"/>
  <c r="G94" i="21"/>
  <c r="AA93" i="21"/>
  <c r="Z93" i="21"/>
  <c r="Y93" i="21"/>
  <c r="X93" i="21"/>
  <c r="W93" i="21"/>
  <c r="V93" i="21"/>
  <c r="U93" i="21"/>
  <c r="T93" i="21"/>
  <c r="S93" i="21"/>
  <c r="Q93" i="21"/>
  <c r="P93" i="21"/>
  <c r="O93" i="21"/>
  <c r="N93" i="21"/>
  <c r="M93" i="21"/>
  <c r="L93" i="21"/>
  <c r="K93" i="21"/>
  <c r="J93" i="21"/>
  <c r="H93" i="21"/>
  <c r="G93" i="21"/>
  <c r="F93" i="21"/>
  <c r="E93" i="21"/>
  <c r="D93" i="21"/>
  <c r="C93" i="21"/>
  <c r="J92" i="21"/>
  <c r="H92" i="21"/>
  <c r="G92" i="21"/>
  <c r="F92" i="21"/>
  <c r="E92" i="21"/>
  <c r="D92" i="21"/>
  <c r="C92" i="21"/>
  <c r="AA92" i="21"/>
  <c r="Z92" i="21"/>
  <c r="Y92" i="21"/>
  <c r="X92" i="21"/>
  <c r="W92" i="21"/>
  <c r="V92" i="21"/>
  <c r="U92" i="21"/>
  <c r="T92" i="21"/>
  <c r="S92" i="21"/>
  <c r="Q92" i="21"/>
  <c r="P92" i="21"/>
  <c r="O92" i="21"/>
  <c r="N92" i="21"/>
  <c r="M92" i="21"/>
  <c r="L92" i="21"/>
  <c r="K92" i="21"/>
  <c r="AA91" i="21"/>
  <c r="Z91" i="21"/>
  <c r="Y91" i="21"/>
  <c r="X91" i="21"/>
  <c r="W91" i="21"/>
  <c r="V91" i="21"/>
  <c r="U91" i="21"/>
  <c r="T91" i="21"/>
  <c r="S91" i="21"/>
  <c r="Q91" i="21"/>
  <c r="P91" i="21"/>
  <c r="O91" i="21"/>
  <c r="N91" i="21"/>
  <c r="M91" i="21"/>
  <c r="L91" i="21"/>
  <c r="K91" i="21"/>
  <c r="J91" i="21"/>
  <c r="H91" i="21"/>
  <c r="G91" i="21"/>
  <c r="F91" i="21"/>
  <c r="E91" i="21"/>
  <c r="D91" i="21"/>
  <c r="C91" i="21"/>
  <c r="AA90" i="21"/>
  <c r="Z90" i="21"/>
  <c r="Y90" i="21"/>
  <c r="X90" i="21"/>
  <c r="W90" i="21"/>
  <c r="V90" i="21"/>
  <c r="U90" i="21"/>
  <c r="T90" i="21"/>
  <c r="S90" i="21"/>
  <c r="Q90" i="21"/>
  <c r="P90" i="21"/>
  <c r="O90" i="21"/>
  <c r="N90" i="21"/>
  <c r="M90" i="21"/>
  <c r="L90" i="21"/>
  <c r="K90" i="21"/>
  <c r="J90" i="21"/>
  <c r="H90" i="21"/>
  <c r="G90" i="21"/>
  <c r="F90" i="21"/>
  <c r="E90" i="21"/>
  <c r="D90" i="21"/>
  <c r="C90" i="21"/>
  <c r="AA89" i="21"/>
  <c r="Z89" i="21"/>
  <c r="Y89" i="21"/>
  <c r="X89" i="21"/>
  <c r="W89" i="21"/>
  <c r="V89" i="21"/>
  <c r="U89" i="21"/>
  <c r="T89" i="21"/>
  <c r="S89" i="21"/>
  <c r="Q89" i="21"/>
  <c r="P89" i="21"/>
  <c r="O89" i="21"/>
  <c r="N89" i="21"/>
  <c r="M89" i="21"/>
  <c r="L89" i="21"/>
  <c r="K89" i="21"/>
  <c r="J89" i="21"/>
  <c r="H89" i="21"/>
  <c r="G89" i="21"/>
  <c r="F89" i="21"/>
  <c r="E89" i="21"/>
  <c r="D89" i="21"/>
  <c r="C89" i="21"/>
  <c r="AA88" i="21"/>
  <c r="Z88" i="21"/>
  <c r="Y88" i="21"/>
  <c r="X88" i="21"/>
  <c r="W88" i="21"/>
  <c r="V88" i="21"/>
  <c r="U88" i="21"/>
  <c r="T88" i="21"/>
  <c r="S88" i="21"/>
  <c r="Q88" i="21"/>
  <c r="P88" i="21"/>
  <c r="O88" i="21"/>
  <c r="N88" i="21"/>
  <c r="M88" i="21"/>
  <c r="L88" i="21"/>
  <c r="K88" i="21"/>
  <c r="J88" i="21"/>
  <c r="H88" i="21"/>
  <c r="G88" i="21"/>
  <c r="F88" i="21"/>
  <c r="E88" i="21"/>
  <c r="D88" i="21"/>
  <c r="C88" i="21"/>
  <c r="AA87" i="21"/>
  <c r="Z87" i="21"/>
  <c r="Y87" i="21"/>
  <c r="X87" i="21"/>
  <c r="W87" i="21"/>
  <c r="V87" i="21"/>
  <c r="U87" i="21"/>
  <c r="T87" i="21"/>
  <c r="S87" i="21"/>
  <c r="Q87" i="21"/>
  <c r="P87" i="21"/>
  <c r="O87" i="21"/>
  <c r="N87" i="21"/>
  <c r="M87" i="21"/>
  <c r="L87" i="21"/>
  <c r="K87" i="21"/>
  <c r="J87" i="21"/>
  <c r="H87" i="21"/>
  <c r="G87" i="21"/>
  <c r="F87" i="21"/>
  <c r="E87" i="21"/>
  <c r="D87" i="21"/>
  <c r="C87" i="21"/>
  <c r="AA86" i="21"/>
  <c r="Z86" i="21"/>
  <c r="Y86" i="21"/>
  <c r="X86" i="21"/>
  <c r="W86" i="21"/>
  <c r="V86" i="21"/>
  <c r="U86" i="21"/>
  <c r="T86" i="21"/>
  <c r="S86" i="21"/>
  <c r="Q86" i="21"/>
  <c r="P86" i="21"/>
  <c r="O86" i="21"/>
  <c r="N86" i="21"/>
  <c r="M86" i="21"/>
  <c r="L86" i="21"/>
  <c r="K86" i="21"/>
  <c r="J86" i="21"/>
  <c r="H86" i="21"/>
  <c r="G86" i="21"/>
  <c r="F86" i="21"/>
  <c r="E86" i="21"/>
  <c r="D86" i="21"/>
  <c r="C86" i="21"/>
  <c r="AA85" i="21"/>
  <c r="Z85" i="21"/>
  <c r="Y85" i="21"/>
  <c r="X85" i="21"/>
  <c r="W85" i="21"/>
  <c r="V85" i="21"/>
  <c r="U85" i="21"/>
  <c r="T85" i="21"/>
  <c r="S85" i="21"/>
  <c r="Q85" i="21"/>
  <c r="P85" i="21"/>
  <c r="O85" i="21"/>
  <c r="N85" i="21"/>
  <c r="M85" i="21"/>
  <c r="L85" i="21"/>
  <c r="K85" i="21"/>
  <c r="J85" i="21"/>
  <c r="H85" i="21"/>
  <c r="G85" i="21"/>
  <c r="F85" i="21"/>
  <c r="E85" i="21"/>
  <c r="D85" i="21"/>
  <c r="C85" i="21"/>
  <c r="AA84" i="21"/>
  <c r="Z84" i="21"/>
  <c r="Y84" i="21"/>
  <c r="X84" i="21"/>
  <c r="W84" i="21"/>
  <c r="V84" i="21"/>
  <c r="U84" i="21"/>
  <c r="T84" i="21"/>
  <c r="S84" i="21"/>
  <c r="Q84" i="21"/>
  <c r="P84" i="21"/>
  <c r="O84" i="21"/>
  <c r="N84" i="21"/>
  <c r="M84" i="21"/>
  <c r="L84" i="21"/>
  <c r="K84" i="21"/>
  <c r="J84" i="21"/>
  <c r="H84" i="21"/>
  <c r="G84" i="21"/>
  <c r="F84" i="21"/>
  <c r="E84" i="21"/>
  <c r="D84" i="21"/>
  <c r="C84" i="21"/>
  <c r="AA83" i="21"/>
  <c r="Z83" i="21"/>
  <c r="Y83" i="21"/>
  <c r="X83" i="21"/>
  <c r="W83" i="21"/>
  <c r="V83" i="21"/>
  <c r="U83" i="21"/>
  <c r="T83" i="21"/>
  <c r="S83" i="21"/>
  <c r="Q83" i="21"/>
  <c r="P83" i="21"/>
  <c r="O83" i="21"/>
  <c r="N83" i="21"/>
  <c r="M83" i="21"/>
  <c r="L83" i="21"/>
  <c r="K83" i="21"/>
  <c r="J83" i="21"/>
  <c r="H83" i="21"/>
  <c r="AA82" i="21"/>
  <c r="Z82" i="21"/>
  <c r="Y82" i="21"/>
  <c r="X82" i="21"/>
  <c r="W82" i="21"/>
  <c r="V82" i="21"/>
  <c r="U82" i="21"/>
  <c r="T82" i="21"/>
  <c r="S82" i="21"/>
  <c r="Q82" i="21"/>
  <c r="P82" i="21"/>
  <c r="O82" i="21"/>
  <c r="N82" i="21"/>
  <c r="M82" i="21"/>
  <c r="L82" i="21"/>
  <c r="K82" i="21"/>
  <c r="J82" i="21"/>
  <c r="H82" i="21"/>
  <c r="G83" i="21"/>
  <c r="F83" i="21"/>
  <c r="E83" i="21"/>
  <c r="G82" i="21"/>
  <c r="F82" i="21"/>
  <c r="E82" i="21"/>
  <c r="D83" i="21"/>
  <c r="D82" i="21"/>
  <c r="C83" i="21"/>
  <c r="C82" i="21"/>
  <c r="AA81" i="21"/>
  <c r="Z81" i="21"/>
  <c r="Y81" i="21"/>
  <c r="X81" i="21"/>
  <c r="W81" i="21"/>
  <c r="V81" i="21"/>
  <c r="U81" i="21"/>
  <c r="T81" i="21"/>
  <c r="S81" i="21"/>
  <c r="Q81" i="21"/>
  <c r="P81" i="21"/>
  <c r="O81" i="21"/>
  <c r="N81" i="21"/>
  <c r="M81" i="21"/>
  <c r="L81" i="21"/>
  <c r="K81" i="21"/>
  <c r="J81" i="21"/>
  <c r="H81" i="21"/>
  <c r="G81" i="21"/>
  <c r="F81" i="21"/>
  <c r="E81" i="21"/>
  <c r="D81" i="21"/>
  <c r="E80" i="21"/>
  <c r="F80" i="21"/>
  <c r="G80" i="21"/>
  <c r="H80" i="21"/>
  <c r="J80" i="21"/>
  <c r="K80" i="21"/>
  <c r="L80" i="21"/>
  <c r="M80" i="21"/>
  <c r="N80" i="21"/>
  <c r="O80" i="21"/>
  <c r="C81" i="21"/>
  <c r="AA80" i="21"/>
  <c r="Z80" i="21"/>
  <c r="Y80" i="21"/>
  <c r="X80" i="21"/>
  <c r="W80" i="21"/>
  <c r="V80" i="21"/>
  <c r="U80" i="21"/>
  <c r="T80" i="21"/>
  <c r="S80" i="21"/>
  <c r="Q80" i="21"/>
  <c r="P80" i="21"/>
  <c r="D80" i="21"/>
  <c r="C80" i="21"/>
  <c r="AA79" i="21"/>
  <c r="Z79" i="21"/>
  <c r="Y79" i="21"/>
  <c r="X79" i="21"/>
  <c r="W79" i="21"/>
  <c r="V79" i="21"/>
  <c r="U79" i="21"/>
  <c r="T79" i="21"/>
  <c r="S79" i="21"/>
  <c r="Q79" i="21"/>
  <c r="P79" i="21"/>
  <c r="O79" i="21"/>
  <c r="N79" i="21"/>
  <c r="M79" i="21"/>
  <c r="L79" i="21"/>
  <c r="K79" i="21"/>
  <c r="J79" i="21"/>
  <c r="H79" i="21"/>
  <c r="G79" i="21"/>
  <c r="F79" i="21"/>
  <c r="E79" i="21"/>
  <c r="D79" i="21"/>
  <c r="C79" i="21"/>
  <c r="C35" i="22"/>
  <c r="C33" i="22"/>
  <c r="N78" i="21"/>
  <c r="N77" i="21"/>
  <c r="F59" i="22"/>
  <c r="Q69" i="22"/>
  <c r="Q68" i="22"/>
  <c r="Q67" i="22"/>
  <c r="Q66" i="22"/>
  <c r="Q65" i="22"/>
  <c r="Q64" i="22"/>
  <c r="Q63" i="22"/>
  <c r="Q62" i="22"/>
  <c r="Q61" i="22"/>
  <c r="Q60" i="22"/>
  <c r="Q59" i="22"/>
  <c r="Q58" i="22"/>
  <c r="Q57" i="22"/>
  <c r="Q56" i="22"/>
  <c r="Q55" i="22"/>
  <c r="Q54" i="22"/>
  <c r="Q53" i="22"/>
  <c r="Q52" i="22"/>
  <c r="Q51" i="22"/>
  <c r="Q50" i="22"/>
  <c r="Q49" i="22"/>
  <c r="Q48" i="22"/>
  <c r="Q47" i="22"/>
  <c r="Q46" i="22"/>
  <c r="Q45" i="22"/>
  <c r="Q44" i="22"/>
  <c r="Q43" i="22"/>
  <c r="Q42" i="22"/>
  <c r="Q41" i="22"/>
  <c r="Q40" i="22"/>
  <c r="Q39" i="22"/>
  <c r="Q38" i="22"/>
  <c r="Q37" i="22"/>
  <c r="Q36" i="22"/>
  <c r="Q35" i="22"/>
  <c r="Q34" i="22"/>
  <c r="Q33" i="22"/>
  <c r="Q32" i="22"/>
  <c r="Q31" i="22"/>
  <c r="Q30" i="22"/>
  <c r="Q29" i="22"/>
  <c r="Q28" i="22"/>
  <c r="Q27" i="22"/>
  <c r="Q26" i="22"/>
  <c r="Q25" i="22"/>
  <c r="Q24" i="22"/>
  <c r="Q23" i="22"/>
  <c r="Q22" i="22"/>
  <c r="Q21" i="22"/>
  <c r="Q20" i="22"/>
  <c r="Q19" i="22"/>
  <c r="Q18" i="22"/>
  <c r="Q17" i="22"/>
  <c r="Q16" i="22"/>
  <c r="Q15" i="22"/>
  <c r="Q14" i="22"/>
  <c r="Q13" i="22"/>
  <c r="Q12" i="22"/>
  <c r="Q11" i="22"/>
  <c r="Q10" i="22"/>
  <c r="P69" i="22"/>
  <c r="P68" i="22"/>
  <c r="P67" i="22"/>
  <c r="P66" i="22"/>
  <c r="P65" i="22"/>
  <c r="P64" i="22"/>
  <c r="P63" i="22"/>
  <c r="P62" i="22"/>
  <c r="P61" i="22"/>
  <c r="P60" i="22"/>
  <c r="P59" i="22"/>
  <c r="P58" i="22"/>
  <c r="P57" i="22"/>
  <c r="P56" i="22"/>
  <c r="P55" i="22"/>
  <c r="P54" i="22"/>
  <c r="P53" i="22"/>
  <c r="P52" i="22"/>
  <c r="P51" i="22"/>
  <c r="P50" i="22"/>
  <c r="P49" i="22"/>
  <c r="P48" i="22"/>
  <c r="P47" i="22"/>
  <c r="P46" i="22"/>
  <c r="P45" i="22"/>
  <c r="P44" i="22"/>
  <c r="P43" i="22"/>
  <c r="P42" i="22"/>
  <c r="P41" i="22"/>
  <c r="P40" i="22"/>
  <c r="P39" i="22"/>
  <c r="P38" i="22"/>
  <c r="P37" i="22"/>
  <c r="P36" i="22"/>
  <c r="P35" i="22"/>
  <c r="P34" i="22"/>
  <c r="P33" i="22"/>
  <c r="P32" i="22"/>
  <c r="P31" i="22"/>
  <c r="P30" i="22"/>
  <c r="P29" i="22"/>
  <c r="P28" i="22"/>
  <c r="P27" i="22"/>
  <c r="P26" i="22"/>
  <c r="P25" i="22"/>
  <c r="P24" i="22"/>
  <c r="P23" i="22"/>
  <c r="P22" i="22"/>
  <c r="P21" i="22"/>
  <c r="P20" i="22"/>
  <c r="P19" i="22"/>
  <c r="P18" i="22"/>
  <c r="P17" i="22"/>
  <c r="P16" i="22"/>
  <c r="P15" i="22"/>
  <c r="P14" i="22"/>
  <c r="P13" i="22"/>
  <c r="P12" i="22"/>
  <c r="P11" i="22"/>
  <c r="P10" i="22"/>
  <c r="O69" i="22"/>
  <c r="O68" i="22"/>
  <c r="O67" i="22"/>
  <c r="O66" i="22"/>
  <c r="O65" i="22"/>
  <c r="O64" i="22"/>
  <c r="O63" i="22"/>
  <c r="O62" i="22"/>
  <c r="O61" i="22"/>
  <c r="O60" i="22"/>
  <c r="O59" i="22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O45" i="22"/>
  <c r="O44" i="22"/>
  <c r="O43" i="22"/>
  <c r="O42" i="22"/>
  <c r="O41" i="22"/>
  <c r="O40" i="22"/>
  <c r="O39" i="22"/>
  <c r="O38" i="22"/>
  <c r="O37" i="22"/>
  <c r="O36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O21" i="22"/>
  <c r="O20" i="22"/>
  <c r="O19" i="22"/>
  <c r="O18" i="22"/>
  <c r="O17" i="22"/>
  <c r="O16" i="22"/>
  <c r="O15" i="22"/>
  <c r="O14" i="22"/>
  <c r="O13" i="22"/>
  <c r="O12" i="22"/>
  <c r="O11" i="22"/>
  <c r="O10" i="22"/>
  <c r="N69" i="22"/>
  <c r="N68" i="22"/>
  <c r="N67" i="22"/>
  <c r="N66" i="22"/>
  <c r="N65" i="22"/>
  <c r="N64" i="22"/>
  <c r="N63" i="22"/>
  <c r="N62" i="22"/>
  <c r="N61" i="22"/>
  <c r="N60" i="22"/>
  <c r="N59" i="22"/>
  <c r="N58" i="22"/>
  <c r="N57" i="22"/>
  <c r="N56" i="22"/>
  <c r="N55" i="22"/>
  <c r="N54" i="22"/>
  <c r="N53" i="22"/>
  <c r="N52" i="22"/>
  <c r="N51" i="22"/>
  <c r="N50" i="22"/>
  <c r="N49" i="22"/>
  <c r="N48" i="22"/>
  <c r="N47" i="22"/>
  <c r="N46" i="22"/>
  <c r="N45" i="22"/>
  <c r="N44" i="22"/>
  <c r="N43" i="22"/>
  <c r="N42" i="22"/>
  <c r="N41" i="22"/>
  <c r="N40" i="22"/>
  <c r="N39" i="22"/>
  <c r="N38" i="22"/>
  <c r="N37" i="22"/>
  <c r="N36" i="22"/>
  <c r="N35" i="22"/>
  <c r="N34" i="22"/>
  <c r="N33" i="22"/>
  <c r="N32" i="22"/>
  <c r="N31" i="22"/>
  <c r="N30" i="22"/>
  <c r="N29" i="22"/>
  <c r="N2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M69" i="22"/>
  <c r="M68" i="22"/>
  <c r="M67" i="22"/>
  <c r="M66" i="22"/>
  <c r="M65" i="22"/>
  <c r="M64" i="22"/>
  <c r="M63" i="22"/>
  <c r="M62" i="22"/>
  <c r="M61" i="22"/>
  <c r="M60" i="22"/>
  <c r="M59" i="22"/>
  <c r="M58" i="22"/>
  <c r="M57" i="22"/>
  <c r="M56" i="22"/>
  <c r="M55" i="22"/>
  <c r="M54" i="22"/>
  <c r="M53" i="22"/>
  <c r="M52" i="22"/>
  <c r="M51" i="22"/>
  <c r="M50" i="22"/>
  <c r="M49" i="22"/>
  <c r="M48" i="22"/>
  <c r="M47" i="22"/>
  <c r="M46" i="22"/>
  <c r="M45" i="22"/>
  <c r="M44" i="22"/>
  <c r="M43" i="22"/>
  <c r="M42" i="22"/>
  <c r="M41" i="22"/>
  <c r="M40" i="22"/>
  <c r="M39" i="22"/>
  <c r="M38" i="22"/>
  <c r="M37" i="22"/>
  <c r="M36" i="22"/>
  <c r="M35" i="22"/>
  <c r="M34" i="22"/>
  <c r="M33" i="22"/>
  <c r="M32" i="22"/>
  <c r="M31" i="22"/>
  <c r="M30" i="22"/>
  <c r="M29" i="22"/>
  <c r="M28" i="22"/>
  <c r="M27" i="22"/>
  <c r="M26" i="22"/>
  <c r="M25" i="22"/>
  <c r="M24" i="22"/>
  <c r="M23" i="22"/>
  <c r="M22" i="22"/>
  <c r="M21" i="22"/>
  <c r="M20" i="22"/>
  <c r="M19" i="22"/>
  <c r="M18" i="22"/>
  <c r="M17" i="22"/>
  <c r="M16" i="22"/>
  <c r="M15" i="22"/>
  <c r="M14" i="22"/>
  <c r="M13" i="22"/>
  <c r="M12" i="22"/>
  <c r="M11" i="22"/>
  <c r="M10" i="22"/>
  <c r="L69" i="22"/>
  <c r="L68" i="22"/>
  <c r="L67" i="22"/>
  <c r="L66" i="22"/>
  <c r="L65" i="22"/>
  <c r="L64" i="22"/>
  <c r="L63" i="22"/>
  <c r="L62" i="22"/>
  <c r="L61" i="22"/>
  <c r="L60" i="22"/>
  <c r="L59" i="22"/>
  <c r="L58" i="22"/>
  <c r="L57" i="22"/>
  <c r="L56" i="22"/>
  <c r="L55" i="22"/>
  <c r="L54" i="22"/>
  <c r="L53" i="22"/>
  <c r="L52" i="22"/>
  <c r="L51" i="22"/>
  <c r="L50" i="22"/>
  <c r="L49" i="22"/>
  <c r="L48" i="22"/>
  <c r="L47" i="22"/>
  <c r="L46" i="22"/>
  <c r="L45" i="22"/>
  <c r="L44" i="22"/>
  <c r="L43" i="22"/>
  <c r="L42" i="22"/>
  <c r="L41" i="22"/>
  <c r="L40" i="22"/>
  <c r="L39" i="22"/>
  <c r="L38" i="22"/>
  <c r="L37" i="22"/>
  <c r="L36" i="22"/>
  <c r="L35" i="22"/>
  <c r="L34" i="22"/>
  <c r="L33" i="22"/>
  <c r="L32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K69" i="22"/>
  <c r="K68" i="22"/>
  <c r="K67" i="22"/>
  <c r="K66" i="22"/>
  <c r="K65" i="22"/>
  <c r="K64" i="22"/>
  <c r="K63" i="22"/>
  <c r="K62" i="22"/>
  <c r="K61" i="22"/>
  <c r="K60" i="22"/>
  <c r="K59" i="22"/>
  <c r="K58" i="22"/>
  <c r="K57" i="22"/>
  <c r="K56" i="22"/>
  <c r="K55" i="22"/>
  <c r="K54" i="22"/>
  <c r="K53" i="22"/>
  <c r="K52" i="22"/>
  <c r="K51" i="22"/>
  <c r="K50" i="22"/>
  <c r="K49" i="22"/>
  <c r="K48" i="22"/>
  <c r="K47" i="22"/>
  <c r="K46" i="22"/>
  <c r="K45" i="22"/>
  <c r="K44" i="22"/>
  <c r="K43" i="22"/>
  <c r="K42" i="22"/>
  <c r="K41" i="22"/>
  <c r="K40" i="22"/>
  <c r="K39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K10" i="22"/>
  <c r="J69" i="22"/>
  <c r="J68" i="22"/>
  <c r="J67" i="22"/>
  <c r="J66" i="22"/>
  <c r="J65" i="22"/>
  <c r="J64" i="22"/>
  <c r="J63" i="22"/>
  <c r="J62" i="22"/>
  <c r="J61" i="22"/>
  <c r="J60" i="22"/>
  <c r="J59" i="22"/>
  <c r="J58" i="22"/>
  <c r="J57" i="22"/>
  <c r="J56" i="22"/>
  <c r="J55" i="22"/>
  <c r="J54" i="22"/>
  <c r="J53" i="22"/>
  <c r="J52" i="22"/>
  <c r="J51" i="22"/>
  <c r="J50" i="22"/>
  <c r="J49" i="22"/>
  <c r="J48" i="22"/>
  <c r="J47" i="22"/>
  <c r="J46" i="22"/>
  <c r="J45" i="22"/>
  <c r="J44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H69" i="22"/>
  <c r="H68" i="22"/>
  <c r="H67" i="22"/>
  <c r="H66" i="22"/>
  <c r="H65" i="22"/>
  <c r="H64" i="22"/>
  <c r="H63" i="22"/>
  <c r="H62" i="22"/>
  <c r="H61" i="22"/>
  <c r="H60" i="22"/>
  <c r="H59" i="22"/>
  <c r="H58" i="22"/>
  <c r="H57" i="22"/>
  <c r="H56" i="22"/>
  <c r="H55" i="22"/>
  <c r="H54" i="22"/>
  <c r="H53" i="22"/>
  <c r="H52" i="22"/>
  <c r="H51" i="22"/>
  <c r="H50" i="22"/>
  <c r="H49" i="22"/>
  <c r="H48" i="22"/>
  <c r="H47" i="22"/>
  <c r="H46" i="22"/>
  <c r="H45" i="22"/>
  <c r="H44" i="22"/>
  <c r="H43" i="22"/>
  <c r="H42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G69" i="22"/>
  <c r="G68" i="22"/>
  <c r="G67" i="22"/>
  <c r="G66" i="22"/>
  <c r="G65" i="22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F69" i="22"/>
  <c r="F68" i="22"/>
  <c r="F67" i="22"/>
  <c r="F66" i="22"/>
  <c r="F65" i="22"/>
  <c r="F64" i="22"/>
  <c r="F63" i="22"/>
  <c r="F62" i="22"/>
  <c r="F61" i="22"/>
  <c r="F60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D69" i="22"/>
  <c r="D68" i="22"/>
  <c r="D67" i="22"/>
  <c r="D66" i="22"/>
  <c r="D65" i="22"/>
  <c r="D64" i="22"/>
  <c r="D63" i="22"/>
  <c r="D62" i="22"/>
  <c r="D61" i="22"/>
  <c r="D60" i="22"/>
  <c r="D59" i="22"/>
  <c r="D58" i="22"/>
  <c r="D57" i="22"/>
  <c r="D56" i="22"/>
  <c r="D55" i="22"/>
  <c r="D54" i="22"/>
  <c r="D53" i="22"/>
  <c r="D52" i="22"/>
  <c r="D51" i="22"/>
  <c r="D50" i="22"/>
  <c r="D49" i="22"/>
  <c r="D48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C10" i="22"/>
  <c r="S10" i="22"/>
  <c r="V10" i="22"/>
  <c r="W10" i="22"/>
  <c r="Z10" i="22"/>
  <c r="AA10" i="22"/>
  <c r="C11" i="22"/>
  <c r="S11" i="22"/>
  <c r="V11" i="22"/>
  <c r="W11" i="22"/>
  <c r="Z11" i="22"/>
  <c r="AA11" i="22"/>
  <c r="C12" i="22"/>
  <c r="S12" i="22"/>
  <c r="V12" i="22"/>
  <c r="W12" i="22"/>
  <c r="Z12" i="22"/>
  <c r="AA12" i="22"/>
  <c r="C13" i="22"/>
  <c r="S13" i="22"/>
  <c r="V13" i="22"/>
  <c r="W13" i="22"/>
  <c r="Z13" i="22"/>
  <c r="AA13" i="22"/>
  <c r="C14" i="22"/>
  <c r="S14" i="22"/>
  <c r="V14" i="22"/>
  <c r="W14" i="22"/>
  <c r="Z14" i="22"/>
  <c r="AA14" i="22"/>
  <c r="C15" i="22"/>
  <c r="S15" i="22"/>
  <c r="V15" i="22"/>
  <c r="W15" i="22"/>
  <c r="Z15" i="22"/>
  <c r="AA15" i="22"/>
  <c r="C16" i="22"/>
  <c r="S16" i="22"/>
  <c r="V16" i="22"/>
  <c r="W16" i="22"/>
  <c r="Z16" i="22"/>
  <c r="AA16" i="22"/>
  <c r="C17" i="22"/>
  <c r="S17" i="22"/>
  <c r="V17" i="22"/>
  <c r="W17" i="22"/>
  <c r="Z17" i="22"/>
  <c r="AA17" i="22"/>
  <c r="C18" i="22"/>
  <c r="S18" i="22"/>
  <c r="V18" i="22"/>
  <c r="W18" i="22"/>
  <c r="Z18" i="22"/>
  <c r="AA18" i="22"/>
  <c r="C19" i="22"/>
  <c r="S19" i="22"/>
  <c r="V19" i="22"/>
  <c r="W19" i="22"/>
  <c r="Z19" i="22"/>
  <c r="AA19" i="22"/>
  <c r="C20" i="22"/>
  <c r="S20" i="22"/>
  <c r="V20" i="22"/>
  <c r="W20" i="22"/>
  <c r="Z20" i="22"/>
  <c r="AA20" i="22"/>
  <c r="C21" i="22"/>
  <c r="S21" i="22"/>
  <c r="V21" i="22"/>
  <c r="W21" i="22"/>
  <c r="Z21" i="22"/>
  <c r="AA21" i="22"/>
  <c r="C22" i="22"/>
  <c r="S22" i="22"/>
  <c r="V22" i="22"/>
  <c r="W22" i="22"/>
  <c r="Z22" i="22"/>
  <c r="AA22" i="22"/>
  <c r="C23" i="22"/>
  <c r="S23" i="22"/>
  <c r="V23" i="22"/>
  <c r="W23" i="22"/>
  <c r="Z23" i="22"/>
  <c r="AA23" i="22"/>
  <c r="C24" i="22"/>
  <c r="S24" i="22"/>
  <c r="V24" i="22"/>
  <c r="W24" i="22"/>
  <c r="Z24" i="22"/>
  <c r="AA24" i="22"/>
  <c r="C25" i="22"/>
  <c r="S25" i="22"/>
  <c r="V25" i="22"/>
  <c r="W25" i="22"/>
  <c r="Z25" i="22"/>
  <c r="AA25" i="22"/>
  <c r="C26" i="22"/>
  <c r="S26" i="22"/>
  <c r="V26" i="22"/>
  <c r="W26" i="22"/>
  <c r="Z26" i="22"/>
  <c r="AA26" i="22"/>
  <c r="C27" i="22"/>
  <c r="S27" i="22"/>
  <c r="V27" i="22"/>
  <c r="W27" i="22"/>
  <c r="Z27" i="22"/>
  <c r="AA27" i="22"/>
  <c r="C28" i="22"/>
  <c r="S28" i="22"/>
  <c r="V28" i="22"/>
  <c r="W28" i="22"/>
  <c r="Z28" i="22"/>
  <c r="AA28" i="22"/>
  <c r="C29" i="22"/>
  <c r="S29" i="22"/>
  <c r="V29" i="22"/>
  <c r="W29" i="22"/>
  <c r="Z29" i="22"/>
  <c r="AA29" i="22"/>
  <c r="C30" i="22"/>
  <c r="S30" i="22"/>
  <c r="V30" i="22"/>
  <c r="W30" i="22"/>
  <c r="Z30" i="22"/>
  <c r="AA30" i="22"/>
  <c r="C31" i="22"/>
  <c r="S31" i="22"/>
  <c r="V31" i="22"/>
  <c r="W31" i="22"/>
  <c r="Z31" i="22"/>
  <c r="AA31" i="22"/>
  <c r="C32" i="22"/>
  <c r="S32" i="22"/>
  <c r="V32" i="22"/>
  <c r="W32" i="22"/>
  <c r="Z32" i="22"/>
  <c r="AA32" i="22"/>
  <c r="S33" i="22"/>
  <c r="V33" i="22"/>
  <c r="W33" i="22"/>
  <c r="Z33" i="22"/>
  <c r="AA33" i="22"/>
  <c r="C34" i="22"/>
  <c r="S34" i="22"/>
  <c r="V34" i="22"/>
  <c r="W34" i="22"/>
  <c r="Z34" i="22"/>
  <c r="AA34" i="22"/>
  <c r="S35" i="22"/>
  <c r="V35" i="22"/>
  <c r="W35" i="22"/>
  <c r="Z35" i="22"/>
  <c r="AA35" i="22"/>
  <c r="C36" i="22"/>
  <c r="S36" i="22"/>
  <c r="V36" i="22"/>
  <c r="W36" i="22"/>
  <c r="Z36" i="22"/>
  <c r="AA36" i="22"/>
  <c r="C37" i="22"/>
  <c r="S37" i="22"/>
  <c r="V37" i="22"/>
  <c r="W37" i="22"/>
  <c r="Z37" i="22"/>
  <c r="AA37" i="22"/>
  <c r="C38" i="22"/>
  <c r="S38" i="22"/>
  <c r="V38" i="22"/>
  <c r="W38" i="22"/>
  <c r="Z38" i="22"/>
  <c r="AA38" i="22"/>
  <c r="C39" i="22"/>
  <c r="S39" i="22"/>
  <c r="V39" i="22"/>
  <c r="W39" i="22"/>
  <c r="Z39" i="22"/>
  <c r="AA39" i="22"/>
  <c r="C40" i="22"/>
  <c r="S40" i="22"/>
  <c r="V40" i="22"/>
  <c r="W40" i="22"/>
  <c r="Z40" i="22"/>
  <c r="AA40" i="22"/>
  <c r="C41" i="22"/>
  <c r="S41" i="22"/>
  <c r="V41" i="22"/>
  <c r="W41" i="22"/>
  <c r="Z41" i="22"/>
  <c r="AA41" i="22"/>
  <c r="C42" i="22"/>
  <c r="S42" i="22"/>
  <c r="V42" i="22"/>
  <c r="W42" i="22"/>
  <c r="Z42" i="22"/>
  <c r="AA42" i="22"/>
  <c r="C43" i="22"/>
  <c r="S43" i="22"/>
  <c r="T43" i="22"/>
  <c r="U43" i="22"/>
  <c r="V43" i="22"/>
  <c r="W43" i="22"/>
  <c r="X43" i="22"/>
  <c r="Y43" i="22"/>
  <c r="Z43" i="22"/>
  <c r="AA43" i="22"/>
  <c r="C44" i="22"/>
  <c r="S44" i="22"/>
  <c r="T44" i="22"/>
  <c r="U44" i="22"/>
  <c r="V44" i="22"/>
  <c r="W44" i="22"/>
  <c r="X44" i="22"/>
  <c r="Y44" i="22"/>
  <c r="Z44" i="22"/>
  <c r="AA44" i="22"/>
  <c r="C45" i="22"/>
  <c r="S45" i="22"/>
  <c r="T45" i="22"/>
  <c r="U45" i="22"/>
  <c r="V45" i="22"/>
  <c r="W45" i="22"/>
  <c r="X45" i="22"/>
  <c r="Y45" i="22"/>
  <c r="Z45" i="22"/>
  <c r="AA45" i="22"/>
  <c r="C46" i="22"/>
  <c r="S46" i="22"/>
  <c r="T46" i="22"/>
  <c r="U46" i="22"/>
  <c r="V46" i="22"/>
  <c r="W46" i="22"/>
  <c r="X46" i="22"/>
  <c r="Y46" i="22"/>
  <c r="Z46" i="22"/>
  <c r="AA46" i="22"/>
  <c r="C47" i="22"/>
  <c r="S47" i="22"/>
  <c r="T47" i="22"/>
  <c r="U47" i="22"/>
  <c r="V47" i="22"/>
  <c r="W47" i="22"/>
  <c r="X47" i="22"/>
  <c r="Y47" i="22"/>
  <c r="Z47" i="22"/>
  <c r="AA47" i="22"/>
  <c r="C48" i="22"/>
  <c r="S48" i="22"/>
  <c r="T48" i="22"/>
  <c r="U48" i="22"/>
  <c r="V48" i="22"/>
  <c r="W48" i="22"/>
  <c r="X48" i="22"/>
  <c r="Y48" i="22"/>
  <c r="Z48" i="22"/>
  <c r="AA48" i="22"/>
  <c r="C49" i="22"/>
  <c r="S49" i="22"/>
  <c r="T49" i="22"/>
  <c r="U49" i="22"/>
  <c r="V49" i="22"/>
  <c r="W49" i="22"/>
  <c r="X49" i="22"/>
  <c r="Y49" i="22"/>
  <c r="Z49" i="22"/>
  <c r="AA49" i="22"/>
  <c r="C50" i="22"/>
  <c r="S50" i="22"/>
  <c r="T50" i="22"/>
  <c r="U50" i="22"/>
  <c r="V50" i="22"/>
  <c r="W50" i="22"/>
  <c r="X50" i="22"/>
  <c r="Y50" i="22"/>
  <c r="Z50" i="22"/>
  <c r="AA50" i="22"/>
  <c r="C51" i="22"/>
  <c r="S51" i="22"/>
  <c r="T51" i="22"/>
  <c r="U51" i="22"/>
  <c r="V51" i="22"/>
  <c r="W51" i="22"/>
  <c r="X51" i="22"/>
  <c r="Y51" i="22"/>
  <c r="Z51" i="22"/>
  <c r="AA51" i="22"/>
  <c r="C52" i="22"/>
  <c r="S52" i="22"/>
  <c r="T52" i="22"/>
  <c r="U52" i="22"/>
  <c r="V52" i="22"/>
  <c r="W52" i="22"/>
  <c r="X52" i="22"/>
  <c r="Y52" i="22"/>
  <c r="Z52" i="22"/>
  <c r="AA52" i="22"/>
  <c r="C53" i="22"/>
  <c r="S53" i="22"/>
  <c r="T53" i="22"/>
  <c r="U53" i="22"/>
  <c r="V53" i="22"/>
  <c r="W53" i="22"/>
  <c r="X53" i="22"/>
  <c r="Y53" i="22"/>
  <c r="Z53" i="22"/>
  <c r="AA53" i="22"/>
  <c r="C54" i="22"/>
  <c r="S54" i="22"/>
  <c r="T54" i="22"/>
  <c r="U54" i="22"/>
  <c r="V54" i="22"/>
  <c r="W54" i="22"/>
  <c r="X54" i="22"/>
  <c r="Y54" i="22"/>
  <c r="Z54" i="22"/>
  <c r="AA54" i="22"/>
  <c r="C55" i="22"/>
  <c r="S55" i="22"/>
  <c r="T55" i="22"/>
  <c r="U55" i="22"/>
  <c r="V55" i="22"/>
  <c r="W55" i="22"/>
  <c r="X55" i="22"/>
  <c r="Y55" i="22"/>
  <c r="Z55" i="22"/>
  <c r="AA55" i="22"/>
  <c r="C56" i="22"/>
  <c r="S56" i="22"/>
  <c r="T56" i="22"/>
  <c r="U56" i="22"/>
  <c r="V56" i="22"/>
  <c r="W56" i="22"/>
  <c r="X56" i="22"/>
  <c r="Y56" i="22"/>
  <c r="Z56" i="22"/>
  <c r="AA56" i="22"/>
  <c r="C57" i="22"/>
  <c r="S57" i="22"/>
  <c r="T57" i="22"/>
  <c r="U57" i="22"/>
  <c r="V57" i="22"/>
  <c r="W57" i="22"/>
  <c r="X57" i="22"/>
  <c r="Y57" i="22"/>
  <c r="Z57" i="22"/>
  <c r="AA57" i="22"/>
  <c r="C58" i="22"/>
  <c r="S58" i="22"/>
  <c r="T58" i="22"/>
  <c r="U58" i="22"/>
  <c r="V58" i="22"/>
  <c r="W58" i="22"/>
  <c r="X58" i="22"/>
  <c r="Y58" i="22"/>
  <c r="Z58" i="22"/>
  <c r="AA58" i="22"/>
  <c r="C59" i="22"/>
  <c r="S59" i="22"/>
  <c r="T59" i="22"/>
  <c r="U59" i="22"/>
  <c r="V59" i="22"/>
  <c r="W59" i="22"/>
  <c r="X59" i="22"/>
  <c r="Y59" i="22"/>
  <c r="Z59" i="22"/>
  <c r="AA59" i="22"/>
  <c r="C60" i="22"/>
  <c r="S60" i="22"/>
  <c r="T60" i="22"/>
  <c r="U60" i="22"/>
  <c r="V60" i="22"/>
  <c r="W60" i="22"/>
  <c r="X60" i="22"/>
  <c r="Y60" i="22"/>
  <c r="Z60" i="22"/>
  <c r="AA60" i="22"/>
  <c r="C61" i="22"/>
  <c r="S61" i="22"/>
  <c r="T61" i="22"/>
  <c r="U61" i="22"/>
  <c r="V61" i="22"/>
  <c r="W61" i="22"/>
  <c r="X61" i="22"/>
  <c r="Y61" i="22"/>
  <c r="Z61" i="22"/>
  <c r="AA61" i="22"/>
  <c r="C62" i="22"/>
  <c r="S62" i="22"/>
  <c r="T62" i="22"/>
  <c r="U62" i="22"/>
  <c r="V62" i="22"/>
  <c r="W62" i="22"/>
  <c r="X62" i="22"/>
  <c r="Y62" i="22"/>
  <c r="Z62" i="22"/>
  <c r="AA62" i="22"/>
  <c r="C63" i="22"/>
  <c r="S63" i="22"/>
  <c r="T63" i="22"/>
  <c r="U63" i="22"/>
  <c r="V63" i="22"/>
  <c r="W63" i="22"/>
  <c r="X63" i="22"/>
  <c r="Y63" i="22"/>
  <c r="Z63" i="22"/>
  <c r="AA63" i="22"/>
  <c r="C64" i="22"/>
  <c r="S64" i="22"/>
  <c r="T64" i="22"/>
  <c r="U64" i="22"/>
  <c r="V64" i="22"/>
  <c r="W64" i="22"/>
  <c r="X64" i="22"/>
  <c r="Y64" i="22"/>
  <c r="Z64" i="22"/>
  <c r="AA64" i="22"/>
  <c r="C65" i="22"/>
  <c r="S65" i="22"/>
  <c r="T65" i="22"/>
  <c r="U65" i="22"/>
  <c r="V65" i="22"/>
  <c r="W65" i="22"/>
  <c r="X65" i="22"/>
  <c r="Y65" i="22"/>
  <c r="Z65" i="22"/>
  <c r="AA65" i="22"/>
  <c r="C66" i="22"/>
  <c r="S66" i="22"/>
  <c r="T66" i="22"/>
  <c r="U66" i="22"/>
  <c r="V66" i="22"/>
  <c r="W66" i="22"/>
  <c r="X66" i="22"/>
  <c r="Y66" i="22"/>
  <c r="Z66" i="22"/>
  <c r="AA66" i="22"/>
  <c r="C67" i="22"/>
  <c r="S67" i="22"/>
  <c r="T67" i="22"/>
  <c r="U67" i="22"/>
  <c r="V67" i="22"/>
  <c r="W67" i="22"/>
  <c r="X67" i="22"/>
  <c r="Y67" i="22"/>
  <c r="Z67" i="22"/>
  <c r="AA67" i="22"/>
  <c r="C68" i="22"/>
  <c r="S68" i="22"/>
  <c r="T68" i="22"/>
  <c r="U68" i="22"/>
  <c r="V68" i="22"/>
  <c r="W68" i="22"/>
  <c r="X68" i="22"/>
  <c r="Y68" i="22"/>
  <c r="Z68" i="22"/>
  <c r="AA68" i="22"/>
  <c r="C69" i="22"/>
  <c r="S69" i="22"/>
  <c r="T69" i="22"/>
  <c r="U69" i="22"/>
  <c r="V69" i="22"/>
  <c r="W69" i="22"/>
  <c r="X69" i="22"/>
  <c r="Y69" i="22"/>
  <c r="Z69" i="22"/>
  <c r="AA69" i="22"/>
  <c r="AA78" i="21"/>
  <c r="AA77" i="21"/>
  <c r="Z78" i="21"/>
  <c r="Z77" i="21"/>
  <c r="Y78" i="21"/>
  <c r="Y77" i="21"/>
  <c r="X78" i="21"/>
  <c r="X77" i="21"/>
  <c r="W78" i="21"/>
  <c r="W77" i="21"/>
  <c r="V78" i="21"/>
  <c r="V77" i="21"/>
  <c r="U78" i="21"/>
  <c r="U77" i="21"/>
  <c r="T78" i="21"/>
  <c r="T77" i="21"/>
  <c r="S78" i="21"/>
  <c r="S77" i="21"/>
  <c r="Q78" i="21"/>
  <c r="Q77" i="21"/>
  <c r="P78" i="21"/>
  <c r="P77" i="21"/>
  <c r="O78" i="21"/>
  <c r="O77" i="21"/>
  <c r="M78" i="21"/>
  <c r="M77" i="21"/>
  <c r="L78" i="21"/>
  <c r="L77" i="21"/>
  <c r="K78" i="21"/>
  <c r="K77" i="21"/>
  <c r="J78" i="21"/>
  <c r="J77" i="21"/>
  <c r="H78" i="21"/>
  <c r="H77" i="21"/>
  <c r="G78" i="21"/>
  <c r="G77" i="21"/>
  <c r="F78" i="21"/>
  <c r="F77" i="21"/>
  <c r="E78" i="21"/>
  <c r="E77" i="21"/>
  <c r="D78" i="21"/>
  <c r="D77" i="21"/>
  <c r="C78" i="21"/>
  <c r="C77" i="21"/>
  <c r="AA73" i="19"/>
  <c r="AA72" i="19"/>
  <c r="AA71" i="19"/>
  <c r="AA70" i="19"/>
  <c r="AA69" i="19"/>
  <c r="AA68" i="19"/>
  <c r="AA67" i="19"/>
  <c r="AA66" i="19"/>
  <c r="AA65" i="19"/>
  <c r="AA64" i="19"/>
  <c r="AA63" i="19"/>
  <c r="AA62" i="19"/>
  <c r="AA61" i="19"/>
  <c r="AA60" i="19"/>
  <c r="AA59" i="19"/>
  <c r="AA58" i="19"/>
  <c r="AA57" i="19"/>
  <c r="AA56" i="19"/>
  <c r="AA55" i="19"/>
  <c r="AA54" i="19"/>
  <c r="AA53" i="19"/>
  <c r="AA52" i="19"/>
  <c r="AA51" i="19"/>
  <c r="AA50" i="19"/>
  <c r="AA49" i="19"/>
  <c r="AA48" i="19"/>
  <c r="AA47" i="19"/>
  <c r="AA46" i="19"/>
  <c r="AA45" i="19"/>
  <c r="AA44" i="19"/>
  <c r="AA43" i="19"/>
  <c r="AA42" i="19"/>
  <c r="AA41" i="19"/>
  <c r="AA40" i="19"/>
  <c r="AA39" i="19"/>
  <c r="AA38" i="19"/>
  <c r="AA37" i="19"/>
  <c r="AA36" i="19"/>
  <c r="AA35" i="19"/>
  <c r="AA34" i="19"/>
  <c r="AA33" i="19"/>
  <c r="AA32" i="19"/>
  <c r="AA31" i="19"/>
  <c r="AA30" i="19"/>
  <c r="AA29" i="19"/>
  <c r="AA28" i="19"/>
  <c r="AA27" i="19"/>
  <c r="AA26" i="19"/>
  <c r="AA25" i="19"/>
  <c r="AA24" i="19"/>
  <c r="AA23" i="19"/>
  <c r="AA22" i="19"/>
  <c r="AA21" i="19"/>
  <c r="AA20" i="19"/>
  <c r="AA19" i="19"/>
  <c r="AA18" i="19"/>
  <c r="AA17" i="19"/>
  <c r="AA16" i="19"/>
  <c r="AA15" i="19"/>
  <c r="AA14" i="19"/>
  <c r="Z73" i="19"/>
  <c r="Z72" i="19"/>
  <c r="Z71" i="19"/>
  <c r="Z70" i="19"/>
  <c r="Z69" i="19"/>
  <c r="Z68" i="19"/>
  <c r="Z67" i="19"/>
  <c r="Z66" i="19"/>
  <c r="Z65" i="19"/>
  <c r="Z64" i="19"/>
  <c r="Z63" i="19"/>
  <c r="Z62" i="19"/>
  <c r="Z61" i="19"/>
  <c r="Z60" i="19"/>
  <c r="Z59" i="19"/>
  <c r="Z58" i="19"/>
  <c r="Z57" i="19"/>
  <c r="Z56" i="19"/>
  <c r="Z55" i="19"/>
  <c r="Z54" i="19"/>
  <c r="Z53" i="19"/>
  <c r="Z52" i="19"/>
  <c r="Z51" i="19"/>
  <c r="Z50" i="19"/>
  <c r="Z49" i="19"/>
  <c r="Z48" i="19"/>
  <c r="Z47" i="19"/>
  <c r="Z46" i="19"/>
  <c r="Z45" i="19"/>
  <c r="Z44" i="19"/>
  <c r="Z43" i="19"/>
  <c r="Z42" i="19"/>
  <c r="Z41" i="19"/>
  <c r="Z40" i="19"/>
  <c r="Z39" i="19"/>
  <c r="Z38" i="19"/>
  <c r="Z37" i="19"/>
  <c r="Z36" i="19"/>
  <c r="Z35" i="19"/>
  <c r="Z34" i="19"/>
  <c r="Z33" i="19"/>
  <c r="Z32" i="19"/>
  <c r="Z31" i="19"/>
  <c r="Z30" i="19"/>
  <c r="Z29" i="19"/>
  <c r="Z28" i="19"/>
  <c r="Z27" i="19"/>
  <c r="Z26" i="19"/>
  <c r="Z25" i="19"/>
  <c r="Z24" i="19"/>
  <c r="Z23" i="19"/>
  <c r="Z22" i="19"/>
  <c r="Z21" i="19"/>
  <c r="Z20" i="19"/>
  <c r="Z19" i="19"/>
  <c r="Z18" i="19"/>
  <c r="Z17" i="19"/>
  <c r="Z16" i="19"/>
  <c r="Z15" i="19"/>
  <c r="Z14" i="19"/>
  <c r="W73" i="19"/>
  <c r="W72" i="19"/>
  <c r="W71" i="19"/>
  <c r="W70" i="19"/>
  <c r="W69" i="19"/>
  <c r="W68" i="19"/>
  <c r="W67" i="19"/>
  <c r="W66" i="19"/>
  <c r="W65" i="19"/>
  <c r="W64" i="19"/>
  <c r="W63" i="19"/>
  <c r="W62" i="19"/>
  <c r="W61" i="19"/>
  <c r="W60" i="19"/>
  <c r="W59" i="19"/>
  <c r="W58" i="19"/>
  <c r="W57" i="19"/>
  <c r="W56" i="19"/>
  <c r="W55" i="19"/>
  <c r="W54" i="19"/>
  <c r="W53" i="19"/>
  <c r="W52" i="19"/>
  <c r="W51" i="19"/>
  <c r="W50" i="19"/>
  <c r="W49" i="19"/>
  <c r="W48" i="19"/>
  <c r="W47" i="19"/>
  <c r="W46" i="19"/>
  <c r="W45" i="19"/>
  <c r="W44" i="19"/>
  <c r="W43" i="19"/>
  <c r="W42" i="19"/>
  <c r="W41" i="19"/>
  <c r="W40" i="19"/>
  <c r="W39" i="19"/>
  <c r="W38" i="19"/>
  <c r="W37" i="19"/>
  <c r="W36" i="19"/>
  <c r="W35" i="19"/>
  <c r="W34" i="19"/>
  <c r="W33" i="19"/>
  <c r="W32" i="19"/>
  <c r="W31" i="19"/>
  <c r="W30" i="19"/>
  <c r="W29" i="19"/>
  <c r="W28" i="19"/>
  <c r="W27" i="19"/>
  <c r="W26" i="19"/>
  <c r="W25" i="19"/>
  <c r="W24" i="19"/>
  <c r="W23" i="19"/>
  <c r="W22" i="19"/>
  <c r="W21" i="19"/>
  <c r="W20" i="19"/>
  <c r="W19" i="19"/>
  <c r="W18" i="19"/>
  <c r="W17" i="19"/>
  <c r="W16" i="19"/>
  <c r="W15" i="19"/>
  <c r="W14" i="19"/>
  <c r="V73" i="19"/>
  <c r="V72" i="19"/>
  <c r="V71" i="19"/>
  <c r="V70" i="19"/>
  <c r="V69" i="19"/>
  <c r="V68" i="19"/>
  <c r="V67" i="19"/>
  <c r="V66" i="19"/>
  <c r="V65" i="19"/>
  <c r="V64" i="19"/>
  <c r="V63" i="19"/>
  <c r="V62" i="19"/>
  <c r="V61" i="19"/>
  <c r="V60" i="19"/>
  <c r="V59" i="19"/>
  <c r="V58" i="19"/>
  <c r="V57" i="19"/>
  <c r="V56" i="19"/>
  <c r="V55" i="19"/>
  <c r="V54" i="19"/>
  <c r="V53" i="19"/>
  <c r="V52" i="19"/>
  <c r="V51" i="19"/>
  <c r="V50" i="19"/>
  <c r="V49" i="19"/>
  <c r="V48" i="19"/>
  <c r="V47" i="19"/>
  <c r="V46" i="19"/>
  <c r="V45" i="19"/>
  <c r="V44" i="19"/>
  <c r="V43" i="19"/>
  <c r="V42" i="19"/>
  <c r="V41" i="19"/>
  <c r="V40" i="19"/>
  <c r="V39" i="19"/>
  <c r="V38" i="19"/>
  <c r="V37" i="19"/>
  <c r="V36" i="19"/>
  <c r="V35" i="19"/>
  <c r="V34" i="19"/>
  <c r="V33" i="19"/>
  <c r="V32" i="19"/>
  <c r="V31" i="19"/>
  <c r="V30" i="19"/>
  <c r="V29" i="19"/>
  <c r="V28" i="19"/>
  <c r="V27" i="19"/>
  <c r="V26" i="19"/>
  <c r="V25" i="19"/>
  <c r="V24" i="19"/>
  <c r="V23" i="19"/>
  <c r="V22" i="19"/>
  <c r="V21" i="19"/>
  <c r="V20" i="19"/>
  <c r="V19" i="19"/>
  <c r="V18" i="19"/>
  <c r="V17" i="19"/>
  <c r="V16" i="19"/>
  <c r="V15" i="19"/>
  <c r="V14" i="19"/>
  <c r="Y73" i="19"/>
  <c r="Y72" i="19"/>
  <c r="Y71" i="19"/>
  <c r="Y70" i="19"/>
  <c r="Y69" i="19"/>
  <c r="Y68" i="19"/>
  <c r="Y67" i="19"/>
  <c r="Y66" i="19"/>
  <c r="Y65" i="19"/>
  <c r="Y64" i="19"/>
  <c r="Y63" i="19"/>
  <c r="Y62" i="19"/>
  <c r="Y61" i="19"/>
  <c r="Y60" i="19"/>
  <c r="Y59" i="19"/>
  <c r="Y58" i="19"/>
  <c r="Y57" i="19"/>
  <c r="Y56" i="19"/>
  <c r="Y55" i="19"/>
  <c r="Y54" i="19"/>
  <c r="Y53" i="19"/>
  <c r="Y52" i="19"/>
  <c r="Y51" i="19"/>
  <c r="Y50" i="19"/>
  <c r="Y49" i="19"/>
  <c r="Y48" i="19"/>
  <c r="Y47" i="19"/>
  <c r="X73" i="19"/>
  <c r="X72" i="19"/>
  <c r="X71" i="19"/>
  <c r="X70" i="19"/>
  <c r="X69" i="19"/>
  <c r="X68" i="19"/>
  <c r="X67" i="19"/>
  <c r="X66" i="19"/>
  <c r="X65" i="19"/>
  <c r="X64" i="19"/>
  <c r="X63" i="19"/>
  <c r="X62" i="19"/>
  <c r="X61" i="19"/>
  <c r="X60" i="19"/>
  <c r="X59" i="19"/>
  <c r="X58" i="19"/>
  <c r="X57" i="19"/>
  <c r="X56" i="19"/>
  <c r="X55" i="19"/>
  <c r="X54" i="19"/>
  <c r="X53" i="19"/>
  <c r="X52" i="19"/>
  <c r="X51" i="19"/>
  <c r="X50" i="19"/>
  <c r="X49" i="19"/>
  <c r="X48" i="19"/>
  <c r="X47" i="19"/>
  <c r="U73" i="19"/>
  <c r="U72" i="19"/>
  <c r="U71" i="19"/>
  <c r="U70" i="19"/>
  <c r="U69" i="19"/>
  <c r="U68" i="19"/>
  <c r="U67" i="19"/>
  <c r="U66" i="19"/>
  <c r="U65" i="19"/>
  <c r="U64" i="19"/>
  <c r="U63" i="19"/>
  <c r="U62" i="19"/>
  <c r="U61" i="19"/>
  <c r="U60" i="19"/>
  <c r="U59" i="19"/>
  <c r="U58" i="19"/>
  <c r="U57" i="19"/>
  <c r="U56" i="19"/>
  <c r="U55" i="19"/>
  <c r="U54" i="19"/>
  <c r="U53" i="19"/>
  <c r="U52" i="19"/>
  <c r="U51" i="19"/>
  <c r="U50" i="19"/>
  <c r="U49" i="19"/>
  <c r="U48" i="19"/>
  <c r="U47" i="19"/>
  <c r="T73" i="19"/>
  <c r="T72" i="19"/>
  <c r="T71" i="19"/>
  <c r="T70" i="19"/>
  <c r="T69" i="19"/>
  <c r="T68" i="19"/>
  <c r="T67" i="19"/>
  <c r="T66" i="19"/>
  <c r="T65" i="19"/>
  <c r="T64" i="19"/>
  <c r="T63" i="19"/>
  <c r="T62" i="19"/>
  <c r="T61" i="19"/>
  <c r="T60" i="19"/>
  <c r="T59" i="19"/>
  <c r="T58" i="19"/>
  <c r="T57" i="19"/>
  <c r="T56" i="19"/>
  <c r="T55" i="19"/>
  <c r="T54" i="19"/>
  <c r="T53" i="19"/>
  <c r="T52" i="19"/>
  <c r="T51" i="19"/>
  <c r="T50" i="19"/>
  <c r="T49" i="19"/>
  <c r="T48" i="19"/>
  <c r="T47" i="19"/>
  <c r="S73" i="19"/>
  <c r="S72" i="19"/>
  <c r="S71" i="19"/>
  <c r="S70" i="19"/>
  <c r="S69" i="19"/>
  <c r="S68" i="19"/>
  <c r="S67" i="19"/>
  <c r="S66" i="19"/>
  <c r="S65" i="19"/>
  <c r="S64" i="19"/>
  <c r="S63" i="19"/>
  <c r="S62" i="19"/>
  <c r="S61" i="19"/>
  <c r="S60" i="19"/>
  <c r="S59" i="19"/>
  <c r="S58" i="19"/>
  <c r="S57" i="19"/>
  <c r="S56" i="19"/>
  <c r="S55" i="19"/>
  <c r="S54" i="19"/>
  <c r="S53" i="19"/>
  <c r="S52" i="19"/>
  <c r="S51" i="19"/>
  <c r="S50" i="19"/>
  <c r="S49" i="19"/>
  <c r="S48" i="19"/>
  <c r="S47" i="19"/>
  <c r="S46" i="19"/>
  <c r="S45" i="19"/>
  <c r="S44" i="19"/>
  <c r="S43" i="19"/>
  <c r="S42" i="19"/>
  <c r="S41" i="19"/>
  <c r="S40" i="19"/>
  <c r="S39" i="19"/>
  <c r="S38" i="19"/>
  <c r="S37" i="19"/>
  <c r="S36" i="19"/>
  <c r="S35" i="19"/>
  <c r="S34" i="19"/>
  <c r="S33" i="19"/>
  <c r="S32" i="19"/>
  <c r="S31" i="19"/>
  <c r="S30" i="19"/>
  <c r="S29" i="19"/>
  <c r="S28" i="19"/>
  <c r="S27" i="19"/>
  <c r="S26" i="19"/>
  <c r="S25" i="19"/>
  <c r="S24" i="19"/>
  <c r="S23" i="19"/>
  <c r="S22" i="19"/>
  <c r="S21" i="19"/>
  <c r="S20" i="19"/>
  <c r="S19" i="19"/>
  <c r="S18" i="19"/>
  <c r="S17" i="19"/>
  <c r="S16" i="19"/>
  <c r="S15" i="19"/>
  <c r="S14" i="19"/>
  <c r="N115" i="21" l="1"/>
  <c r="AU131" i="19"/>
  <c r="AU127" i="19"/>
  <c r="AU125" i="19"/>
  <c r="AU121" i="19"/>
  <c r="AU119" i="19"/>
  <c r="AU115" i="19"/>
  <c r="AM114" i="19"/>
  <c r="AQ131" i="19"/>
  <c r="AM130" i="19"/>
  <c r="AM124" i="19"/>
</calcChain>
</file>

<file path=xl/sharedStrings.xml><?xml version="1.0" encoding="utf-8"?>
<sst xmlns="http://schemas.openxmlformats.org/spreadsheetml/2006/main" count="738" uniqueCount="221">
  <si>
    <t>Durban/</t>
  </si>
  <si>
    <t>Witwatersrand</t>
  </si>
  <si>
    <t>FS Goldfields</t>
  </si>
  <si>
    <t>Polokwane</t>
  </si>
  <si>
    <t>Pinetown</t>
  </si>
  <si>
    <t>Material</t>
  </si>
  <si>
    <t>Plant</t>
  </si>
  <si>
    <t>Coast</t>
  </si>
  <si>
    <t>Western Cape</t>
  </si>
  <si>
    <t>Northern Cape</t>
  </si>
  <si>
    <t>Kimberly</t>
  </si>
  <si>
    <t>Gauteng</t>
  </si>
  <si>
    <t>Mpumalanga</t>
  </si>
  <si>
    <t>Limpopo</t>
  </si>
  <si>
    <t>Date</t>
  </si>
  <si>
    <t>Ekurhuleni</t>
  </si>
  <si>
    <t>Civil Engineering</t>
  </si>
  <si>
    <t>Roads &amp; E/Works</t>
  </si>
  <si>
    <t>2008=100</t>
  </si>
  <si>
    <t>Pretoria/</t>
  </si>
  <si>
    <t>Centurion/</t>
  </si>
  <si>
    <t>(Pietersburg)</t>
  </si>
  <si>
    <t>Akasia</t>
  </si>
  <si>
    <t>Witwatersrand/</t>
  </si>
  <si>
    <t>North West</t>
  </si>
  <si>
    <t>Port Elizabeth/</t>
  </si>
  <si>
    <t>Pietermaritzburg</t>
  </si>
  <si>
    <t>Nelspruit/</t>
  </si>
  <si>
    <t>Witbank</t>
  </si>
  <si>
    <t>Fuel</t>
  </si>
  <si>
    <t xml:space="preserve"> Cape Peninsula/</t>
  </si>
  <si>
    <t>City of Cape Town</t>
  </si>
  <si>
    <t>Utenhage</t>
  </si>
  <si>
    <t>East London</t>
  </si>
  <si>
    <t>City of Johannesburg</t>
  </si>
  <si>
    <t>Bloemfomtein</t>
  </si>
  <si>
    <t xml:space="preserve">          Eastern Cape</t>
  </si>
  <si>
    <t xml:space="preserve">                   Free State</t>
  </si>
  <si>
    <t xml:space="preserve">               KwaZulu Natal</t>
  </si>
  <si>
    <t>Concrete Work</t>
  </si>
  <si>
    <t>Diesel</t>
  </si>
  <si>
    <t xml:space="preserve">       Fuel Wholesale</t>
  </si>
  <si>
    <t>Dec 2012 = 100</t>
  </si>
  <si>
    <t>Dec 2012=100</t>
  </si>
  <si>
    <t xml:space="preserve">Conversion </t>
  </si>
  <si>
    <t>Factors</t>
  </si>
  <si>
    <t>Refer to P0141 - Consumer Price Index (CPI): Additional Tables: Table 13 - Indices and percentage changes according to area</t>
  </si>
  <si>
    <t>Refer to P0142.1 - Producer Price Index (PPI): Table 11 and Table 12</t>
  </si>
  <si>
    <t>Table 11</t>
  </si>
  <si>
    <t>Table 12</t>
  </si>
  <si>
    <t>Table 3</t>
  </si>
  <si>
    <t>Table 4</t>
  </si>
  <si>
    <t>Work Groups and Selected Materials Indices: Table 3 and Table 4</t>
  </si>
  <si>
    <t>Table 14 - CPI all items, according to area</t>
  </si>
  <si>
    <t>Refer to P0141 - Consumer Price Index: Aditional tables:</t>
  </si>
  <si>
    <t>(Province)</t>
  </si>
  <si>
    <t>STATSSA</t>
  </si>
  <si>
    <t>(Multiply new indices by conversion factors provided by STATSSA)</t>
  </si>
  <si>
    <t>Free State</t>
  </si>
  <si>
    <t>(Divide new indices by conversion factors provided by STATSSA)</t>
  </si>
  <si>
    <t xml:space="preserve">Refer to P0151 - Contract Price Adjustment Provisions(CPAP): </t>
  </si>
  <si>
    <t>2000 = 100 - Converted to 2012 = 100</t>
  </si>
  <si>
    <t>Converted to</t>
  </si>
  <si>
    <t>2012 = 100</t>
  </si>
  <si>
    <t xml:space="preserve">TABLE "C" - Conversion of Old Indices into New 2012 = 100 Indices </t>
  </si>
  <si>
    <t>Refer to P0141 - Consumer Price Index (CPI): Additional Tables: Table 14 - Indices and percentage changes according to area</t>
  </si>
  <si>
    <t xml:space="preserve">Conversion Factors: </t>
  </si>
  <si>
    <t>Eastern Cape</t>
  </si>
  <si>
    <t>KwaZulu Natal</t>
  </si>
  <si>
    <t>Refer to P0141 - Consumer Price Index:</t>
  </si>
  <si>
    <t>Additional Tables: Table 14 - CPI all items, according to area</t>
  </si>
  <si>
    <t>Refer to P0151 - Contract Price Adjustment Provisions (CPAP):</t>
  </si>
  <si>
    <t>Month</t>
  </si>
  <si>
    <t>Year</t>
  </si>
  <si>
    <t>Diesel at Wholesale Level</t>
  </si>
  <si>
    <t>Area:</t>
  </si>
  <si>
    <t>City of
Cape Town</t>
  </si>
  <si>
    <t>fjo checked</t>
  </si>
  <si>
    <t>Port
Elizabeth</t>
  </si>
  <si>
    <t>East
London</t>
  </si>
  <si>
    <t>Bloemfontein /
Welkom</t>
  </si>
  <si>
    <t>Durban /
Pinetown</t>
  </si>
  <si>
    <t>Pieter-
Maritzburg</t>
  </si>
  <si>
    <t>Rustenburg /
Klerkdorp</t>
  </si>
  <si>
    <t>City of
Tswane</t>
  </si>
  <si>
    <t>City of
Johannesburg</t>
  </si>
  <si>
    <t>Witbank /
Netspruit</t>
  </si>
  <si>
    <t>Materials for
Civil Engineering</t>
  </si>
  <si>
    <t>Materials for
Concrete Works</t>
  </si>
  <si>
    <t>Materials for
Roads &amp; E/Works</t>
  </si>
  <si>
    <t>Diesel Fuel
Coast &amp; Wtwtrsrnd</t>
  </si>
  <si>
    <t>Civil Engineering Plant</t>
  </si>
  <si>
    <t>Plant for
Concrete Works</t>
  </si>
  <si>
    <t>Plant for
Roads &amp; E/Works</t>
  </si>
  <si>
    <t>DEC 2012 = 100</t>
  </si>
  <si>
    <t>New indices V</t>
  </si>
  <si>
    <t>Conversion   ^</t>
  </si>
  <si>
    <t>All Urban
Areas</t>
  </si>
  <si>
    <t>All Urban</t>
  </si>
  <si>
    <t>Areas</t>
  </si>
  <si>
    <t>Old</t>
  </si>
  <si>
    <t>New</t>
  </si>
  <si>
    <t>Whole Sale Inland</t>
  </si>
  <si>
    <t>Whole Sale Total</t>
  </si>
  <si>
    <t>Whole Sale Coastal</t>
  </si>
  <si>
    <t>Discontinued</t>
  </si>
  <si>
    <t>DUE TO THE REVISON OF THE DIESEL INDICES THIS TABLE B DISCONTINUED</t>
  </si>
  <si>
    <t>DUE TO THE REVISON OF THE DIESEL INDICES THIS OLD TABLE A DISCONTINUED</t>
  </si>
  <si>
    <t>OLD DIESEL INDICES APPLICABLE UPTO FEB '16</t>
  </si>
  <si>
    <t>All CPA calculations going beyond Feb '16 will be required to be re-calculated based on the new diesel indices available from Jan '08</t>
  </si>
  <si>
    <t xml:space="preserve">It is advised to consider that CPA calculations on the basis of 2008 = 100 basis, which may still be required, to be converted to 2012 = 100 basis. </t>
  </si>
  <si>
    <t>The reason being that the conversation of new Diesel Indices (2012 = 100) to 2008 = 100 basis not possible.</t>
  </si>
  <si>
    <t>THESE ARE OLD DIESEL INDICES APPLICABLE UPTO FEB '16</t>
  </si>
  <si>
    <t>* NEW DIESEL INDICES APPLICABLE FROM MAR '16 PROVIDED FROM JAN '08 BY STATS-SA</t>
  </si>
  <si>
    <t>* Diesel Fuel Wholesale Total</t>
  </si>
  <si>
    <t>* Diesel Fuel Wholesale</t>
  </si>
  <si>
    <t>* Inland</t>
  </si>
  <si>
    <t>* Coastal</t>
  </si>
  <si>
    <t>PLEASE REFER TO THE ADVICE NOTE REGARDING NEW DIESEL INDICES (APPLICABLE FROM MAR '16 ONWARDS)</t>
  </si>
  <si>
    <t>TABLE B - Indices 2008 = 100</t>
  </si>
  <si>
    <t>OLD TABLE A (Indice base 100 as at Dec 2012)</t>
  </si>
  <si>
    <t>2008 = 100</t>
  </si>
  <si>
    <t xml:space="preserve">These regional indices found in Table 14 of P0141 will be discontinued from January 2017 - this changed is being discussed with relevant organce of state. </t>
  </si>
  <si>
    <t>Alternative / replacement indices are being investigated and members will be advised shortly in this regard.</t>
  </si>
  <si>
    <t xml:space="preserve">The listed Indices above and below are applicable from January 2017 onwards; be reminded to also update the base month indice
for calculations taken from January 2017 (without affecting calculations prior to January 2017). </t>
  </si>
  <si>
    <t xml:space="preserve">The listed Indices above are applicable from January 2017 onwards; be reminded to also update the base month indice
for calculations taken from January 2017 (without affecting calculations prior to January 2017). </t>
  </si>
  <si>
    <t>2017
↓</t>
  </si>
  <si>
    <t>Conversion   ↑</t>
  </si>
  <si>
    <t>New indices ↓</t>
  </si>
  <si>
    <t>DEC 2016 = 100</t>
  </si>
  <si>
    <t>Old Indices   ↑</t>
  </si>
  <si>
    <t>Conversion  ↓</t>
  </si>
  <si>
    <t>previous
 base change</t>
  </si>
  <si>
    <t>latest
base change</t>
  </si>
  <si>
    <t>2016&lt;--2012</t>
  </si>
  <si>
    <t>2016--&gt;2012</t>
  </si>
  <si>
    <t>Table A / Tables *</t>
  </si>
  <si>
    <t>* The alternative / replacement indices are those published per province found in P0141 Table A / Tables 3 to 11 in the Additional Tables.</t>
  </si>
  <si>
    <t>The regional indices found in Table 14 of P0141 are discontinued from January 2017.
Please refer to and use the indices per province given in P0141 Table A / Tables 3 to 11 in the Additional Tables. *</t>
  </si>
  <si>
    <t>2012 / 100</t>
  </si>
  <si>
    <t>2016 / 100</t>
  </si>
  <si>
    <t>Table A or Tables 3 to 11 - CPI for each province</t>
  </si>
  <si>
    <t>Refer to CPI Index P0141 / Additional Tables</t>
  </si>
  <si>
    <r>
      <t>Table X12 (</t>
    </r>
    <r>
      <rPr>
        <b/>
        <sz val="12"/>
        <color rgb="FFFF0000"/>
        <rFont val="Arial"/>
        <family val="2"/>
      </rPr>
      <t>Indice base 100 as at Dec 2012</t>
    </r>
    <r>
      <rPr>
        <b/>
        <sz val="12"/>
        <color theme="1"/>
        <rFont val="Arial"/>
        <family val="2"/>
      </rPr>
      <t>)</t>
    </r>
  </si>
  <si>
    <t>TABLE A (Indice base 100 as at Dec 2012)</t>
  </si>
  <si>
    <t>Conversion factor</t>
  </si>
  <si>
    <t>Taking 2016 = 100 indices and converting it to 2012 = 100 indices</t>
  </si>
  <si>
    <t>* Please note: previously it was Tables 5 to 13; now renumbered 3 to 11.</t>
  </si>
  <si>
    <t>Taking 2012 = 100 indices and converting it to 2016 = 100 indices</t>
  </si>
  <si>
    <r>
      <t>Table X16 (</t>
    </r>
    <r>
      <rPr>
        <u/>
        <sz val="11"/>
        <color rgb="FFFF0000"/>
        <rFont val="Calibri"/>
        <family val="2"/>
        <scheme val="minor"/>
      </rPr>
      <t>Indice base 100 as at Dec 2016</t>
    </r>
    <r>
      <rPr>
        <sz val="11"/>
        <color theme="1"/>
        <rFont val="Calibri"/>
        <family val="2"/>
        <scheme val="minor"/>
      </rPr>
      <t>)</t>
    </r>
  </si>
  <si>
    <t>2018
↓</t>
  </si>
  <si>
    <t>Civil engineering material- total</t>
  </si>
  <si>
    <t>Civil engineering material (excluding reinforcing metal work)</t>
  </si>
  <si>
    <t>Civil engineering material (excluding reinforcing metal work and bitumen)</t>
  </si>
  <si>
    <t>December</t>
  </si>
  <si>
    <t>Refer Plant, Material &amp; Fuel 2018</t>
  </si>
  <si>
    <t>Civil engineering material (excluding bitumen)</t>
  </si>
  <si>
    <t>Mining and construction plant and equipment price index</t>
  </si>
  <si>
    <t>Civil engineering material-structures (excluding bitumen)</t>
  </si>
  <si>
    <t>Civil engineering material -roads, general</t>
  </si>
  <si>
    <t>Civil engineering material-roads, general (excluding bitumen)</t>
  </si>
  <si>
    <t>Civil engineering material-roads, refurbishment</t>
  </si>
  <si>
    <t>Civil engineering material-roads, refurbishment (excluding bitumen)</t>
  </si>
  <si>
    <t>Civil engineering material -roads, reseal</t>
  </si>
  <si>
    <t>Civil engineering material -roads, reseal (excluding bitumen)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</si>
  <si>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</si>
  <si>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</si>
  <si>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</si>
  <si>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</si>
  <si>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</si>
  <si>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</si>
  <si>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</si>
  <si>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</si>
  <si>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</si>
  <si>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</si>
  <si>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</si>
  <si>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</si>
  <si>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Civil engineering material-bulk earthworks</t>
  </si>
  <si>
    <t>Civil engineering material-bulk earthworks (excluding bitumen)</t>
  </si>
  <si>
    <t>Fuel Diesel</t>
  </si>
  <si>
    <t>Civil engineering material price indices- Table 6 P0151.1</t>
  </si>
  <si>
    <t>Table 1 P0142.1</t>
  </si>
  <si>
    <t>SEE 'NO LONGER APPLICABLE- PLANT"</t>
  </si>
  <si>
    <t>Table 4 P0151.1</t>
  </si>
  <si>
    <t>THE CORRECT MATERIAL INDEX NEED TO BE AGREED UPON FOR EACH PARTICULAR PROJECT (with consulting eng and client) Please refer to the SAFCEC recommendation document and a worked example for clarity; available on the SAFCEC website).</t>
  </si>
  <si>
    <t>The indices below are a continuation of the Labour indices as per the previous years.</t>
  </si>
  <si>
    <t>Table A- Consumer Price Index: Main indices P0141</t>
  </si>
  <si>
    <t>2019
↓</t>
  </si>
  <si>
    <t>2020
↓</t>
  </si>
  <si>
    <t>2021
↓</t>
  </si>
  <si>
    <t>Fuel Diesel, Dec 2020= 100</t>
  </si>
  <si>
    <t>To convert 2016=100 Conversion Factor = 1.115000</t>
  </si>
  <si>
    <t>114.6</t>
  </si>
  <si>
    <t>138.3</t>
  </si>
  <si>
    <t>138.2</t>
  </si>
  <si>
    <t>133.4</t>
  </si>
  <si>
    <t>131.7</t>
  </si>
  <si>
    <t>145.2</t>
  </si>
  <si>
    <t>140.0</t>
  </si>
  <si>
    <t>140.1</t>
  </si>
  <si>
    <t>139.4</t>
  </si>
  <si>
    <t>139.1</t>
  </si>
  <si>
    <t>141.3</t>
  </si>
  <si>
    <t>136.8</t>
  </si>
  <si>
    <t>134.2</t>
  </si>
  <si>
    <t>134.1</t>
  </si>
  <si>
    <t>116.5</t>
  </si>
  <si>
    <t>123.1</t>
  </si>
  <si>
    <t>119.2</t>
  </si>
  <si>
    <t>118.8</t>
  </si>
  <si>
    <t>119.4</t>
  </si>
  <si>
    <t>118.6</t>
  </si>
  <si>
    <t>118.0</t>
  </si>
  <si>
    <t>118.2</t>
  </si>
  <si>
    <r>
      <rPr>
        <b/>
        <sz val="22"/>
        <color rgb="FF00B050"/>
        <rFont val="Arial"/>
        <family val="2"/>
      </rPr>
      <t>2022</t>
    </r>
    <r>
      <rPr>
        <b/>
        <sz val="22"/>
        <color rgb="FF7030A0"/>
        <rFont val="Arial"/>
        <family val="2"/>
      </rPr>
      <t xml:space="preserve">
↓</t>
    </r>
  </si>
  <si>
    <t>Table 4 P0151.1 Dec 2022=100</t>
  </si>
  <si>
    <t>2022
↓</t>
  </si>
  <si>
    <t>Dec22 =100 Conversion Factor</t>
  </si>
  <si>
    <t>Civil engineering material price indices- Table 6 P0151.1 Dec 2021 =100</t>
  </si>
  <si>
    <t>Table A- Consumer Price Index: Main indices P0141 December 2021= 100</t>
  </si>
  <si>
    <t>Dec2021=100 Conversion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</si>
</sst>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.0000000000"/>
    <numFmt numFmtId="166" formatCode="0.0000"/>
    <numFmt numFmtId="167" formatCode="0.000"/>
    <numFmt numFmtId="168" formatCode="0.000000000000000"/>
    <numFmt numFmtId="169" formatCode="0.000000"/>
  </numFmts>
  <fonts count="6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b/>
      <sz val="22"/>
      <color rgb="FFFF000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12"/>
      <color theme="1"/>
      <name val="Arial Narrow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1"/>
      <color rgb="FFFF0000"/>
      <name val="Calibri"/>
      <family val="2"/>
      <scheme val="minor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7"/>
      <name val="Arial Narrow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Arial"/>
      <family val="2"/>
    </font>
    <font>
      <b/>
      <sz val="22"/>
      <color rgb="FFFF0000"/>
      <name val="Arial"/>
      <family val="2"/>
    </font>
    <font>
      <b/>
      <sz val="22"/>
      <color rgb="FF7030A0"/>
      <name val="Arial"/>
      <family val="2"/>
    </font>
    <font>
      <b/>
      <sz val="12"/>
      <color rgb="FF0070C0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rgb="FFFF0000"/>
      <name val="Arial"/>
      <family val="2"/>
    </font>
    <font>
      <b/>
      <sz val="22"/>
      <color rgb="FF0070C0"/>
      <name val="Arial"/>
      <family val="2"/>
    </font>
    <font>
      <sz val="12"/>
      <color theme="8" tint="-0.499984740745262"/>
      <name val="Arial"/>
      <family val="2"/>
    </font>
    <font>
      <i/>
      <sz val="12"/>
      <color rgb="FF002060"/>
      <name val="Arial"/>
      <family val="2"/>
    </font>
    <font>
      <b/>
      <sz val="22"/>
      <color theme="9" tint="-0.49998474074526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2"/>
      <color theme="1"/>
      <name val="Arial"/>
      <family val="2"/>
    </font>
    <font>
      <b/>
      <i/>
      <sz val="11"/>
      <name val="Arial"/>
      <family val="2"/>
    </font>
    <font>
      <i/>
      <sz val="10"/>
      <name val="Arial"/>
      <family val="2"/>
    </font>
    <font>
      <b/>
      <i/>
      <sz val="12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22"/>
      <color rgb="FF00B050"/>
      <name val="Arial"/>
      <family val="2"/>
    </font>
    <font>
      <sz val="9"/>
      <color theme="1"/>
      <name val="Calibri"/>
      <family val="2"/>
      <scheme val="minor"/>
    </font>
    <font>
      <b/>
      <sz val="9"/>
      <color rgb="FF7030A0"/>
      <name val="Arial"/>
      <family val="2"/>
    </font>
    <font>
      <b/>
      <i/>
      <sz val="12"/>
      <color rgb="FFFF0000"/>
      <name val="Arial"/>
      <family val="2"/>
    </font>
    <font>
      <b/>
      <sz val="22"/>
      <color theme="9" tint="-0.249977111117893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dashDotDot">
        <color indexed="64"/>
      </right>
      <top style="medium">
        <color indexed="64"/>
      </top>
      <bottom/>
      <diagonal/>
    </border>
    <border>
      <left/>
      <right style="dashDotDot">
        <color indexed="64"/>
      </right>
      <top/>
      <bottom style="medium">
        <color indexed="64"/>
      </bottom>
      <diagonal/>
    </border>
    <border>
      <left style="dashDotDot">
        <color indexed="64"/>
      </left>
      <right/>
      <top style="medium">
        <color indexed="64"/>
      </top>
      <bottom/>
      <diagonal/>
    </border>
    <border>
      <left style="dashDotDot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Dot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8" fillId="0" borderId="0" applyFont="0" applyFill="0" applyBorder="0" applyAlignment="0" applyProtection="0"/>
    <xf numFmtId="0" fontId="49" fillId="0" borderId="0" applyNumberFormat="0" applyFill="0" applyBorder="0" applyAlignment="0" applyProtection="0"/>
  </cellStyleXfs>
  <cellXfs count="937">
    <xf numFmtId="0" fontId="0" fillId="0" borderId="0" xfId="0"/>
    <xf numFmtId="0" fontId="3" fillId="2" borderId="1" xfId="1" applyFont="1" applyFill="1" applyBorder="1"/>
    <xf numFmtId="0" fontId="2" fillId="0" borderId="2" xfId="1" applyFont="1" applyBorder="1"/>
    <xf numFmtId="0" fontId="2" fillId="0" borderId="3" xfId="1" applyFont="1" applyBorder="1"/>
    <xf numFmtId="0" fontId="2" fillId="0" borderId="3" xfId="1" applyFont="1" applyBorder="1" applyAlignment="1">
      <alignment horizontal="center"/>
    </xf>
    <xf numFmtId="0" fontId="2" fillId="0" borderId="4" xfId="1" applyFont="1" applyBorder="1"/>
    <xf numFmtId="0" fontId="2" fillId="0" borderId="5" xfId="1" applyFont="1" applyBorder="1"/>
    <xf numFmtId="0" fontId="2" fillId="0" borderId="6" xfId="1" applyFont="1" applyBorder="1"/>
    <xf numFmtId="2" fontId="0" fillId="0" borderId="0" xfId="0" applyNumberFormat="1"/>
    <xf numFmtId="0" fontId="9" fillId="0" borderId="0" xfId="0" applyFont="1"/>
    <xf numFmtId="0" fontId="2" fillId="2" borderId="7" xfId="1" applyFont="1" applyFill="1" applyBorder="1"/>
    <xf numFmtId="0" fontId="2" fillId="2" borderId="8" xfId="1" applyFont="1" applyFill="1" applyBorder="1"/>
    <xf numFmtId="0" fontId="6" fillId="0" borderId="9" xfId="1" applyFont="1" applyBorder="1" applyAlignment="1">
      <alignment horizontal="center"/>
    </xf>
    <xf numFmtId="0" fontId="6" fillId="0" borderId="1" xfId="1" applyFont="1" applyBorder="1"/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0" borderId="10" xfId="1" applyFont="1" applyBorder="1"/>
    <xf numFmtId="0" fontId="3" fillId="0" borderId="11" xfId="1" applyFont="1" applyBorder="1"/>
    <xf numFmtId="0" fontId="3" fillId="0" borderId="12" xfId="1" applyFont="1" applyBorder="1"/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5" xfId="1" applyFont="1" applyBorder="1"/>
    <xf numFmtId="0" fontId="2" fillId="0" borderId="2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22" xfId="1" applyFont="1" applyBorder="1"/>
    <xf numFmtId="164" fontId="10" fillId="0" borderId="11" xfId="0" applyNumberFormat="1" applyFont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164" fontId="10" fillId="0" borderId="23" xfId="0" applyNumberFormat="1" applyFont="1" applyBorder="1" applyAlignment="1">
      <alignment horizontal="center"/>
    </xf>
    <xf numFmtId="164" fontId="1" fillId="0" borderId="10" xfId="1" applyNumberFormat="1" applyBorder="1" applyAlignment="1">
      <alignment horizontal="center"/>
    </xf>
    <xf numFmtId="164" fontId="1" fillId="0" borderId="24" xfId="1" applyNumberFormat="1" applyBorder="1" applyAlignment="1">
      <alignment horizontal="center"/>
    </xf>
    <xf numFmtId="164" fontId="1" fillId="0" borderId="11" xfId="1" applyNumberFormat="1" applyBorder="1" applyAlignment="1">
      <alignment horizontal="center"/>
    </xf>
    <xf numFmtId="164" fontId="1" fillId="0" borderId="0" xfId="1" applyNumberFormat="1" applyAlignment="1">
      <alignment horizontal="center"/>
    </xf>
    <xf numFmtId="164" fontId="10" fillId="0" borderId="3" xfId="0" applyNumberFormat="1" applyFont="1" applyBorder="1" applyAlignment="1">
      <alignment horizontal="center"/>
    </xf>
    <xf numFmtId="0" fontId="5" fillId="3" borderId="1" xfId="1" applyFont="1" applyFill="1" applyBorder="1" applyAlignment="1">
      <alignment horizontal="left"/>
    </xf>
    <xf numFmtId="0" fontId="2" fillId="0" borderId="4" xfId="1" applyFont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4" borderId="26" xfId="1" applyFont="1" applyFill="1" applyBorder="1" applyAlignment="1">
      <alignment horizontal="center"/>
    </xf>
    <xf numFmtId="0" fontId="2" fillId="4" borderId="27" xfId="1" applyFont="1" applyFill="1" applyBorder="1"/>
    <xf numFmtId="0" fontId="2" fillId="5" borderId="25" xfId="1" applyFont="1" applyFill="1" applyBorder="1" applyAlignment="1">
      <alignment horizontal="center"/>
    </xf>
    <xf numFmtId="0" fontId="2" fillId="5" borderId="26" xfId="1" applyFont="1" applyFill="1" applyBorder="1" applyAlignment="1">
      <alignment horizontal="center"/>
    </xf>
    <xf numFmtId="0" fontId="2" fillId="5" borderId="27" xfId="1" applyFont="1" applyFill="1" applyBorder="1"/>
    <xf numFmtId="164" fontId="1" fillId="5" borderId="2" xfId="1" applyNumberFormat="1" applyFill="1" applyBorder="1" applyAlignment="1">
      <alignment horizontal="center"/>
    </xf>
    <xf numFmtId="164" fontId="1" fillId="5" borderId="3" xfId="1" applyNumberFormat="1" applyFill="1" applyBorder="1" applyAlignment="1">
      <alignment horizontal="center"/>
    </xf>
    <xf numFmtId="164" fontId="10" fillId="5" borderId="3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4" fontId="10" fillId="2" borderId="8" xfId="0" applyNumberFormat="1" applyFont="1" applyFill="1" applyBorder="1" applyAlignment="1">
      <alignment horizontal="center"/>
    </xf>
    <xf numFmtId="164" fontId="10" fillId="2" borderId="7" xfId="0" applyNumberFormat="1" applyFont="1" applyFill="1" applyBorder="1" applyAlignment="1">
      <alignment horizontal="center"/>
    </xf>
    <xf numFmtId="0" fontId="11" fillId="0" borderId="0" xfId="0" applyFont="1"/>
    <xf numFmtId="0" fontId="3" fillId="2" borderId="8" xfId="1" applyFont="1" applyFill="1" applyBorder="1"/>
    <xf numFmtId="0" fontId="1" fillId="2" borderId="8" xfId="1" applyFill="1" applyBorder="1"/>
    <xf numFmtId="0" fontId="1" fillId="0" borderId="28" xfId="1" applyBorder="1" applyAlignment="1">
      <alignment horizontal="center"/>
    </xf>
    <xf numFmtId="0" fontId="1" fillId="0" borderId="29" xfId="1" applyBorder="1" applyAlignment="1">
      <alignment horizontal="center"/>
    </xf>
    <xf numFmtId="0" fontId="1" fillId="0" borderId="30" xfId="1" applyBorder="1" applyAlignment="1">
      <alignment horizontal="center"/>
    </xf>
    <xf numFmtId="0" fontId="1" fillId="0" borderId="31" xfId="1" applyBorder="1" applyAlignment="1">
      <alignment horizontal="center"/>
    </xf>
    <xf numFmtId="164" fontId="10" fillId="0" borderId="24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23" xfId="1" applyBorder="1" applyAlignment="1">
      <alignment horizontal="center"/>
    </xf>
    <xf numFmtId="0" fontId="1" fillId="0" borderId="4" xfId="1" applyBorder="1" applyAlignment="1">
      <alignment horizontal="center"/>
    </xf>
    <xf numFmtId="164" fontId="10" fillId="0" borderId="4" xfId="0" applyNumberFormat="1" applyFont="1" applyBorder="1" applyAlignment="1">
      <alignment horizontal="center"/>
    </xf>
    <xf numFmtId="166" fontId="10" fillId="0" borderId="12" xfId="0" applyNumberFormat="1" applyFont="1" applyBorder="1" applyAlignment="1">
      <alignment horizontal="center"/>
    </xf>
    <xf numFmtId="166" fontId="10" fillId="0" borderId="4" xfId="0" applyNumberFormat="1" applyFont="1" applyBorder="1" applyAlignment="1">
      <alignment horizontal="center"/>
    </xf>
    <xf numFmtId="166" fontId="10" fillId="0" borderId="15" xfId="0" applyNumberFormat="1" applyFont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32" xfId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165" fontId="13" fillId="6" borderId="1" xfId="0" applyNumberFormat="1" applyFont="1" applyFill="1" applyBorder="1" applyAlignment="1">
      <alignment horizontal="center"/>
    </xf>
    <xf numFmtId="165" fontId="13" fillId="6" borderId="7" xfId="0" applyNumberFormat="1" applyFont="1" applyFill="1" applyBorder="1" applyAlignment="1">
      <alignment horizontal="center"/>
    </xf>
    <xf numFmtId="165" fontId="13" fillId="6" borderId="9" xfId="0" applyNumberFormat="1" applyFont="1" applyFill="1" applyBorder="1" applyAlignment="1">
      <alignment horizontal="center"/>
    </xf>
    <xf numFmtId="165" fontId="13" fillId="6" borderId="8" xfId="0" applyNumberFormat="1" applyFont="1" applyFill="1" applyBorder="1" applyAlignment="1">
      <alignment horizontal="center"/>
    </xf>
    <xf numFmtId="0" fontId="6" fillId="6" borderId="1" xfId="1" applyFont="1" applyFill="1" applyBorder="1" applyAlignment="1">
      <alignment horizontal="center"/>
    </xf>
    <xf numFmtId="0" fontId="6" fillId="6" borderId="33" xfId="1" applyFont="1" applyFill="1" applyBorder="1" applyAlignment="1">
      <alignment horizontal="center"/>
    </xf>
    <xf numFmtId="0" fontId="6" fillId="6" borderId="7" xfId="1" applyFont="1" applyFill="1" applyBorder="1" applyAlignment="1">
      <alignment horizontal="center"/>
    </xf>
    <xf numFmtId="0" fontId="6" fillId="6" borderId="8" xfId="1" applyFont="1" applyFill="1" applyBorder="1" applyAlignment="1">
      <alignment horizontal="center"/>
    </xf>
    <xf numFmtId="0" fontId="6" fillId="6" borderId="34" xfId="1" applyFont="1" applyFill="1" applyBorder="1" applyAlignment="1">
      <alignment horizontal="center"/>
    </xf>
    <xf numFmtId="164" fontId="1" fillId="0" borderId="35" xfId="1" applyNumberFormat="1" applyBorder="1" applyAlignment="1">
      <alignment horizontal="center"/>
    </xf>
    <xf numFmtId="164" fontId="1" fillId="0" borderId="36" xfId="1" applyNumberFormat="1" applyBorder="1" applyAlignment="1">
      <alignment horizontal="center"/>
    </xf>
    <xf numFmtId="164" fontId="10" fillId="0" borderId="36" xfId="0" applyNumberFormat="1" applyFont="1" applyBorder="1" applyAlignment="1">
      <alignment horizontal="center"/>
    </xf>
    <xf numFmtId="164" fontId="12" fillId="0" borderId="36" xfId="0" applyNumberFormat="1" applyFont="1" applyBorder="1" applyAlignment="1">
      <alignment horizontal="center"/>
    </xf>
    <xf numFmtId="164" fontId="10" fillId="0" borderId="18" xfId="0" applyNumberFormat="1" applyFont="1" applyBorder="1" applyAlignment="1">
      <alignment horizontal="center"/>
    </xf>
    <xf numFmtId="164" fontId="10" fillId="0" borderId="19" xfId="0" applyNumberFormat="1" applyFont="1" applyBorder="1" applyAlignment="1">
      <alignment horizontal="center"/>
    </xf>
    <xf numFmtId="164" fontId="1" fillId="4" borderId="18" xfId="1" applyNumberFormat="1" applyFill="1" applyBorder="1" applyAlignment="1">
      <alignment horizontal="center"/>
    </xf>
    <xf numFmtId="164" fontId="1" fillId="4" borderId="19" xfId="1" applyNumberFormat="1" applyFill="1" applyBorder="1" applyAlignment="1">
      <alignment horizontal="center"/>
    </xf>
    <xf numFmtId="164" fontId="10" fillId="4" borderId="19" xfId="0" applyNumberFormat="1" applyFont="1" applyFill="1" applyBorder="1" applyAlignment="1">
      <alignment horizontal="center"/>
    </xf>
    <xf numFmtId="164" fontId="10" fillId="0" borderId="14" xfId="0" applyNumberFormat="1" applyFont="1" applyBorder="1" applyAlignment="1">
      <alignment horizontal="center"/>
    </xf>
    <xf numFmtId="164" fontId="10" fillId="4" borderId="5" xfId="0" applyNumberFormat="1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10" fillId="0" borderId="32" xfId="0" applyNumberFormat="1" applyFont="1" applyBorder="1" applyAlignment="1">
      <alignment horizontal="center"/>
    </xf>
    <xf numFmtId="164" fontId="12" fillId="0" borderId="11" xfId="0" applyNumberFormat="1" applyFont="1" applyBorder="1" applyAlignment="1">
      <alignment horizontal="center"/>
    </xf>
    <xf numFmtId="0" fontId="2" fillId="0" borderId="14" xfId="1" applyFont="1" applyBorder="1"/>
    <xf numFmtId="164" fontId="10" fillId="2" borderId="23" xfId="0" applyNumberFormat="1" applyFont="1" applyFill="1" applyBorder="1" applyAlignment="1">
      <alignment horizontal="center"/>
    </xf>
    <xf numFmtId="0" fontId="2" fillId="0" borderId="17" xfId="1" applyFont="1" applyBorder="1"/>
    <xf numFmtId="1" fontId="10" fillId="0" borderId="14" xfId="0" applyNumberFormat="1" applyFont="1" applyBorder="1" applyAlignment="1">
      <alignment horizontal="center"/>
    </xf>
    <xf numFmtId="164" fontId="10" fillId="0" borderId="10" xfId="0" applyNumberFormat="1" applyFont="1" applyBorder="1" applyAlignment="1">
      <alignment horizontal="center"/>
    </xf>
    <xf numFmtId="164" fontId="10" fillId="0" borderId="13" xfId="0" applyNumberFormat="1" applyFont="1" applyBorder="1" applyAlignment="1">
      <alignment horizontal="center"/>
    </xf>
    <xf numFmtId="164" fontId="10" fillId="0" borderId="37" xfId="0" applyNumberFormat="1" applyFont="1" applyBorder="1" applyAlignment="1">
      <alignment horizontal="center"/>
    </xf>
    <xf numFmtId="164" fontId="10" fillId="0" borderId="38" xfId="0" applyNumberFormat="1" applyFont="1" applyBorder="1" applyAlignment="1">
      <alignment horizontal="center"/>
    </xf>
    <xf numFmtId="164" fontId="10" fillId="0" borderId="35" xfId="0" applyNumberFormat="1" applyFont="1" applyBorder="1" applyAlignment="1">
      <alignment horizontal="center"/>
    </xf>
    <xf numFmtId="167" fontId="6" fillId="6" borderId="33" xfId="1" applyNumberFormat="1" applyFont="1" applyFill="1" applyBorder="1" applyAlignment="1">
      <alignment horizontal="center"/>
    </xf>
    <xf numFmtId="167" fontId="6" fillId="6" borderId="1" xfId="1" applyNumberFormat="1" applyFont="1" applyFill="1" applyBorder="1" applyAlignment="1">
      <alignment horizontal="center"/>
    </xf>
    <xf numFmtId="164" fontId="10" fillId="0" borderId="21" xfId="0" applyNumberFormat="1" applyFont="1" applyBorder="1" applyAlignment="1">
      <alignment horizontal="center"/>
    </xf>
    <xf numFmtId="166" fontId="10" fillId="0" borderId="6" xfId="0" applyNumberFormat="1" applyFont="1" applyBorder="1" applyAlignment="1">
      <alignment horizontal="center"/>
    </xf>
    <xf numFmtId="166" fontId="10" fillId="0" borderId="5" xfId="0" applyNumberFormat="1" applyFont="1" applyBorder="1" applyAlignment="1">
      <alignment horizontal="center"/>
    </xf>
    <xf numFmtId="166" fontId="10" fillId="0" borderId="32" xfId="0" applyNumberFormat="1" applyFont="1" applyBorder="1" applyAlignment="1">
      <alignment horizontal="center"/>
    </xf>
    <xf numFmtId="0" fontId="1" fillId="0" borderId="10" xfId="1" applyBorder="1"/>
    <xf numFmtId="164" fontId="10" fillId="0" borderId="20" xfId="0" applyNumberFormat="1" applyFont="1" applyBorder="1" applyAlignment="1">
      <alignment horizontal="center"/>
    </xf>
    <xf numFmtId="0" fontId="1" fillId="0" borderId="11" xfId="1" applyBorder="1"/>
    <xf numFmtId="164" fontId="10" fillId="0" borderId="17" xfId="0" applyNumberFormat="1" applyFont="1" applyBorder="1" applyAlignment="1">
      <alignment horizontal="center"/>
    </xf>
    <xf numFmtId="164" fontId="1" fillId="0" borderId="36" xfId="0" applyNumberFormat="1" applyFont="1" applyBorder="1" applyAlignment="1">
      <alignment horizontal="center"/>
    </xf>
    <xf numFmtId="0" fontId="3" fillId="2" borderId="10" xfId="1" applyFont="1" applyFill="1" applyBorder="1"/>
    <xf numFmtId="0" fontId="2" fillId="2" borderId="2" xfId="1" applyFont="1" applyFill="1" applyBorder="1"/>
    <xf numFmtId="0" fontId="3" fillId="2" borderId="12" xfId="1" applyFont="1" applyFill="1" applyBorder="1"/>
    <xf numFmtId="0" fontId="2" fillId="2" borderId="4" xfId="1" applyFont="1" applyFill="1" applyBorder="1"/>
    <xf numFmtId="0" fontId="14" fillId="0" borderId="0" xfId="0" applyFont="1"/>
    <xf numFmtId="0" fontId="10" fillId="0" borderId="2" xfId="0" applyFont="1" applyBorder="1"/>
    <xf numFmtId="0" fontId="10" fillId="0" borderId="3" xfId="0" applyFont="1" applyBorder="1"/>
    <xf numFmtId="0" fontId="10" fillId="0" borderId="11" xfId="0" applyFont="1" applyBorder="1"/>
    <xf numFmtId="164" fontId="1" fillId="5" borderId="24" xfId="1" applyNumberFormat="1" applyFill="1" applyBorder="1" applyAlignment="1">
      <alignment horizontal="center"/>
    </xf>
    <xf numFmtId="164" fontId="1" fillId="5" borderId="0" xfId="1" applyNumberFormat="1" applyFill="1" applyAlignment="1">
      <alignment horizontal="center"/>
    </xf>
    <xf numFmtId="164" fontId="10" fillId="5" borderId="0" xfId="0" applyNumberFormat="1" applyFont="1" applyFill="1" applyAlignment="1">
      <alignment horizontal="center"/>
    </xf>
    <xf numFmtId="0" fontId="1" fillId="7" borderId="8" xfId="1" applyFill="1" applyBorder="1"/>
    <xf numFmtId="0" fontId="1" fillId="0" borderId="23" xfId="1" applyBorder="1"/>
    <xf numFmtId="0" fontId="1" fillId="0" borderId="4" xfId="1" applyBorder="1"/>
    <xf numFmtId="0" fontId="6" fillId="2" borderId="1" xfId="1" applyFont="1" applyFill="1" applyBorder="1"/>
    <xf numFmtId="0" fontId="1" fillId="2" borderId="7" xfId="1" applyFill="1" applyBorder="1"/>
    <xf numFmtId="0" fontId="6" fillId="7" borderId="1" xfId="1" applyFont="1" applyFill="1" applyBorder="1"/>
    <xf numFmtId="0" fontId="6" fillId="7" borderId="8" xfId="1" applyFont="1" applyFill="1" applyBorder="1"/>
    <xf numFmtId="0" fontId="1" fillId="7" borderId="7" xfId="1" applyFill="1" applyBorder="1"/>
    <xf numFmtId="0" fontId="6" fillId="0" borderId="11" xfId="1" applyFont="1" applyBorder="1"/>
    <xf numFmtId="0" fontId="1" fillId="0" borderId="3" xfId="1" applyBorder="1"/>
    <xf numFmtId="164" fontId="13" fillId="0" borderId="11" xfId="0" applyNumberFormat="1" applyFont="1" applyBorder="1" applyAlignment="1">
      <alignment horizontal="left"/>
    </xf>
    <xf numFmtId="164" fontId="13" fillId="0" borderId="0" xfId="0" applyNumberFormat="1" applyFont="1" applyAlignment="1">
      <alignment horizontal="left"/>
    </xf>
    <xf numFmtId="164" fontId="13" fillId="0" borderId="10" xfId="0" applyNumberFormat="1" applyFont="1" applyBorder="1" applyAlignment="1">
      <alignment horizontal="left"/>
    </xf>
    <xf numFmtId="164" fontId="13" fillId="0" borderId="24" xfId="0" applyNumberFormat="1" applyFont="1" applyBorder="1" applyAlignment="1">
      <alignment horizontal="left"/>
    </xf>
    <xf numFmtId="0" fontId="6" fillId="3" borderId="1" xfId="1" applyFont="1" applyFill="1" applyBorder="1" applyAlignment="1">
      <alignment horizontal="left"/>
    </xf>
    <xf numFmtId="0" fontId="1" fillId="3" borderId="7" xfId="1" applyFill="1" applyBorder="1" applyAlignment="1">
      <alignment horizontal="center"/>
    </xf>
    <xf numFmtId="0" fontId="6" fillId="0" borderId="10" xfId="1" applyFont="1" applyBorder="1" applyAlignment="1">
      <alignment horizontal="left"/>
    </xf>
    <xf numFmtId="0" fontId="1" fillId="0" borderId="2" xfId="1" applyBorder="1" applyAlignment="1">
      <alignment horizontal="left"/>
    </xf>
    <xf numFmtId="164" fontId="13" fillId="0" borderId="23" xfId="0" applyNumberFormat="1" applyFont="1" applyBorder="1" applyAlignment="1">
      <alignment horizontal="left"/>
    </xf>
    <xf numFmtId="0" fontId="6" fillId="0" borderId="12" xfId="1" applyFont="1" applyBorder="1"/>
    <xf numFmtId="0" fontId="6" fillId="0" borderId="23" xfId="1" applyFont="1" applyBorder="1"/>
    <xf numFmtId="0" fontId="6" fillId="0" borderId="11" xfId="1" applyFont="1" applyBorder="1" applyAlignment="1">
      <alignment horizontal="left"/>
    </xf>
    <xf numFmtId="0" fontId="1" fillId="0" borderId="3" xfId="1" applyBorder="1" applyAlignment="1">
      <alignment horizontal="left"/>
    </xf>
    <xf numFmtId="0" fontId="6" fillId="0" borderId="12" xfId="1" applyFont="1" applyBorder="1" applyAlignment="1">
      <alignment horizontal="left"/>
    </xf>
    <xf numFmtId="164" fontId="10" fillId="4" borderId="37" xfId="0" applyNumberFormat="1" applyFont="1" applyFill="1" applyBorder="1" applyAlignment="1">
      <alignment horizontal="center"/>
    </xf>
    <xf numFmtId="164" fontId="10" fillId="5" borderId="23" xfId="0" applyNumberFormat="1" applyFont="1" applyFill="1" applyBorder="1" applyAlignment="1">
      <alignment horizontal="center"/>
    </xf>
    <xf numFmtId="165" fontId="13" fillId="6" borderId="39" xfId="0" applyNumberFormat="1" applyFont="1" applyFill="1" applyBorder="1" applyAlignment="1">
      <alignment horizontal="center"/>
    </xf>
    <xf numFmtId="165" fontId="13" fillId="6" borderId="33" xfId="0" applyNumberFormat="1" applyFont="1" applyFill="1" applyBorder="1" applyAlignment="1">
      <alignment horizontal="center"/>
    </xf>
    <xf numFmtId="165" fontId="13" fillId="6" borderId="34" xfId="0" applyNumberFormat="1" applyFont="1" applyFill="1" applyBorder="1" applyAlignment="1">
      <alignment horizontal="center"/>
    </xf>
    <xf numFmtId="164" fontId="10" fillId="5" borderId="4" xfId="0" applyNumberFormat="1" applyFont="1" applyFill="1" applyBorder="1" applyAlignment="1">
      <alignment horizontal="center"/>
    </xf>
    <xf numFmtId="164" fontId="12" fillId="0" borderId="14" xfId="0" applyNumberFormat="1" applyFont="1" applyBorder="1" applyAlignment="1">
      <alignment horizontal="center"/>
    </xf>
    <xf numFmtId="0" fontId="10" fillId="0" borderId="12" xfId="0" applyFont="1" applyBorder="1"/>
    <xf numFmtId="0" fontId="10" fillId="0" borderId="4" xfId="0" applyFont="1" applyBorder="1"/>
    <xf numFmtId="164" fontId="10" fillId="0" borderId="15" xfId="0" applyNumberFormat="1" applyFont="1" applyBorder="1" applyAlignment="1">
      <alignment horizontal="center"/>
    </xf>
    <xf numFmtId="164" fontId="10" fillId="0" borderId="22" xfId="0" applyNumberFormat="1" applyFont="1" applyBorder="1" applyAlignment="1">
      <alignment horizontal="center"/>
    </xf>
    <xf numFmtId="164" fontId="12" fillId="0" borderId="12" xfId="0" applyNumberFormat="1" applyFont="1" applyBorder="1" applyAlignment="1">
      <alignment horizontal="center"/>
    </xf>
    <xf numFmtId="164" fontId="1" fillId="0" borderId="32" xfId="0" applyNumberFormat="1" applyFont="1" applyBorder="1" applyAlignment="1">
      <alignment horizontal="center"/>
    </xf>
    <xf numFmtId="0" fontId="1" fillId="0" borderId="19" xfId="1" applyBorder="1" applyAlignment="1">
      <alignment horizontal="center"/>
    </xf>
    <xf numFmtId="0" fontId="1" fillId="0" borderId="3" xfId="1" applyBorder="1" applyAlignment="1">
      <alignment horizontal="center"/>
    </xf>
    <xf numFmtId="0" fontId="10" fillId="0" borderId="40" xfId="0" applyFont="1" applyBorder="1"/>
    <xf numFmtId="0" fontId="10" fillId="0" borderId="41" xfId="0" applyFont="1" applyBorder="1"/>
    <xf numFmtId="164" fontId="10" fillId="0" borderId="42" xfId="0" applyNumberFormat="1" applyFont="1" applyBorder="1" applyAlignment="1">
      <alignment horizontal="center"/>
    </xf>
    <xf numFmtId="164" fontId="10" fillId="0" borderId="40" xfId="0" applyNumberFormat="1" applyFont="1" applyBorder="1" applyAlignment="1">
      <alignment horizontal="center"/>
    </xf>
    <xf numFmtId="164" fontId="10" fillId="0" borderId="43" xfId="0" applyNumberFormat="1" applyFont="1" applyBorder="1" applyAlignment="1">
      <alignment horizontal="center"/>
    </xf>
    <xf numFmtId="164" fontId="10" fillId="0" borderId="44" xfId="0" applyNumberFormat="1" applyFont="1" applyBorder="1" applyAlignment="1">
      <alignment horizontal="center"/>
    </xf>
    <xf numFmtId="164" fontId="10" fillId="0" borderId="41" xfId="0" applyNumberFormat="1" applyFont="1" applyBorder="1" applyAlignment="1">
      <alignment horizontal="center"/>
    </xf>
    <xf numFmtId="164" fontId="10" fillId="4" borderId="44" xfId="0" applyNumberFormat="1" applyFont="1" applyFill="1" applyBorder="1" applyAlignment="1">
      <alignment horizontal="center"/>
    </xf>
    <xf numFmtId="164" fontId="10" fillId="5" borderId="45" xfId="0" applyNumberFormat="1" applyFont="1" applyFill="1" applyBorder="1" applyAlignment="1">
      <alignment horizontal="center"/>
    </xf>
    <xf numFmtId="164" fontId="10" fillId="0" borderId="45" xfId="0" applyNumberFormat="1" applyFont="1" applyBorder="1" applyAlignment="1">
      <alignment horizontal="center"/>
    </xf>
    <xf numFmtId="166" fontId="10" fillId="0" borderId="23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7" fillId="2" borderId="8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4" fillId="2" borderId="1" xfId="1" applyFont="1" applyFill="1" applyBorder="1" applyAlignment="1">
      <alignment horizontal="left" vertical="center" indent="5"/>
    </xf>
    <xf numFmtId="0" fontId="15" fillId="0" borderId="8" xfId="0" applyFont="1" applyBorder="1" applyAlignment="1">
      <alignment vertical="center"/>
    </xf>
    <xf numFmtId="0" fontId="1" fillId="0" borderId="8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165" fontId="10" fillId="6" borderId="9" xfId="0" applyNumberFormat="1" applyFont="1" applyFill="1" applyBorder="1" applyAlignment="1">
      <alignment horizontal="center" vertical="center"/>
    </xf>
    <xf numFmtId="165" fontId="10" fillId="6" borderId="39" xfId="0" applyNumberFormat="1" applyFont="1" applyFill="1" applyBorder="1" applyAlignment="1">
      <alignment horizontal="center" vertical="center"/>
    </xf>
    <xf numFmtId="165" fontId="10" fillId="6" borderId="7" xfId="0" applyNumberFormat="1" applyFont="1" applyFill="1" applyBorder="1" applyAlignment="1">
      <alignment horizontal="center" vertical="center"/>
    </xf>
    <xf numFmtId="165" fontId="10" fillId="6" borderId="1" xfId="0" applyNumberFormat="1" applyFont="1" applyFill="1" applyBorder="1" applyAlignment="1">
      <alignment horizontal="center" vertical="center"/>
    </xf>
    <xf numFmtId="165" fontId="10" fillId="6" borderId="33" xfId="0" applyNumberFormat="1" applyFont="1" applyFill="1" applyBorder="1" applyAlignment="1">
      <alignment horizontal="center" vertical="center"/>
    </xf>
    <xf numFmtId="0" fontId="1" fillId="6" borderId="39" xfId="1" applyFill="1" applyBorder="1" applyAlignment="1">
      <alignment horizontal="center" vertical="center"/>
    </xf>
    <xf numFmtId="167" fontId="1" fillId="6" borderId="33" xfId="1" applyNumberFormat="1" applyFill="1" applyBorder="1" applyAlignment="1">
      <alignment horizontal="center" vertical="center"/>
    </xf>
    <xf numFmtId="0" fontId="1" fillId="6" borderId="33" xfId="1" applyFill="1" applyBorder="1" applyAlignment="1">
      <alignment horizontal="center" vertical="center"/>
    </xf>
    <xf numFmtId="0" fontId="1" fillId="6" borderId="34" xfId="1" applyFill="1" applyBorder="1" applyAlignment="1">
      <alignment horizontal="center" vertical="center"/>
    </xf>
    <xf numFmtId="167" fontId="1" fillId="6" borderId="1" xfId="1" applyNumberFormat="1" applyFill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7" fontId="1" fillId="6" borderId="7" xfId="1" applyNumberFormat="1" applyFill="1" applyBorder="1" applyAlignment="1">
      <alignment horizontal="center" vertical="center"/>
    </xf>
    <xf numFmtId="167" fontId="1" fillId="6" borderId="8" xfId="1" applyNumberFormat="1" applyFill="1" applyBorder="1" applyAlignment="1">
      <alignment horizontal="center" vertical="center"/>
    </xf>
    <xf numFmtId="167" fontId="1" fillId="6" borderId="34" xfId="1" applyNumberFormat="1" applyFill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7" fillId="0" borderId="46" xfId="1" applyFont="1" applyBorder="1" applyAlignment="1">
      <alignment horizontal="center" vertical="center"/>
    </xf>
    <xf numFmtId="0" fontId="7" fillId="0" borderId="48" xfId="1" applyFont="1" applyBorder="1" applyAlignment="1">
      <alignment horizontal="center" vertical="center"/>
    </xf>
    <xf numFmtId="0" fontId="7" fillId="0" borderId="50" xfId="1" applyFont="1" applyBorder="1" applyAlignment="1">
      <alignment horizontal="center" vertical="center"/>
    </xf>
    <xf numFmtId="0" fontId="1" fillId="8" borderId="11" xfId="1" applyFill="1" applyBorder="1" applyAlignment="1">
      <alignment horizontal="center" vertical="center"/>
    </xf>
    <xf numFmtId="0" fontId="1" fillId="8" borderId="0" xfId="1" applyFill="1" applyAlignment="1">
      <alignment horizontal="center" vertical="center"/>
    </xf>
    <xf numFmtId="0" fontId="1" fillId="8" borderId="52" xfId="1" applyFill="1" applyBorder="1" applyAlignment="1">
      <alignment horizontal="center" vertical="center" wrapText="1"/>
    </xf>
    <xf numFmtId="0" fontId="7" fillId="0" borderId="53" xfId="1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" fillId="8" borderId="6" xfId="1" applyFill="1" applyBorder="1" applyAlignment="1">
      <alignment horizontal="center" vertical="center"/>
    </xf>
    <xf numFmtId="0" fontId="1" fillId="8" borderId="32" xfId="1" applyFill="1" applyBorder="1" applyAlignment="1">
      <alignment horizontal="center" vertical="center"/>
    </xf>
    <xf numFmtId="165" fontId="10" fillId="6" borderId="12" xfId="0" applyNumberFormat="1" applyFont="1" applyFill="1" applyBorder="1" applyAlignment="1">
      <alignment horizontal="center" vertical="center"/>
    </xf>
    <xf numFmtId="0" fontId="15" fillId="8" borderId="0" xfId="0" applyFont="1" applyFill="1" applyAlignment="1">
      <alignment vertical="center"/>
    </xf>
    <xf numFmtId="165" fontId="10" fillId="8" borderId="11" xfId="0" applyNumberFormat="1" applyFont="1" applyFill="1" applyBorder="1" applyAlignment="1">
      <alignment horizontal="center" vertical="center"/>
    </xf>
    <xf numFmtId="0" fontId="7" fillId="8" borderId="0" xfId="1" applyFont="1" applyFill="1" applyAlignment="1">
      <alignment vertical="center"/>
    </xf>
    <xf numFmtId="164" fontId="15" fillId="8" borderId="0" xfId="0" applyNumberFormat="1" applyFont="1" applyFill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165" fontId="10" fillId="8" borderId="0" xfId="0" applyNumberFormat="1" applyFont="1" applyFill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1" fillId="8" borderId="0" xfId="0" applyFont="1" applyFill="1" applyAlignment="1">
      <alignment vertical="center"/>
    </xf>
    <xf numFmtId="0" fontId="15" fillId="8" borderId="8" xfId="0" applyFont="1" applyFill="1" applyBorder="1" applyAlignment="1">
      <alignment vertical="center"/>
    </xf>
    <xf numFmtId="0" fontId="11" fillId="8" borderId="10" xfId="0" applyFont="1" applyFill="1" applyBorder="1" applyAlignment="1">
      <alignment horizontal="left" vertical="center" indent="5"/>
    </xf>
    <xf numFmtId="0" fontId="15" fillId="8" borderId="24" xfId="0" applyFont="1" applyFill="1" applyBorder="1" applyAlignment="1">
      <alignment vertical="center"/>
    </xf>
    <xf numFmtId="0" fontId="11" fillId="8" borderId="24" xfId="0" applyFont="1" applyFill="1" applyBorder="1" applyAlignment="1">
      <alignment vertical="center"/>
    </xf>
    <xf numFmtId="0" fontId="15" fillId="8" borderId="2" xfId="0" applyFont="1" applyFill="1" applyBorder="1" applyAlignment="1">
      <alignment vertical="center"/>
    </xf>
    <xf numFmtId="0" fontId="11" fillId="8" borderId="11" xfId="0" applyFont="1" applyFill="1" applyBorder="1" applyAlignment="1">
      <alignment horizontal="left" vertical="center" indent="5"/>
    </xf>
    <xf numFmtId="0" fontId="15" fillId="8" borderId="3" xfId="0" applyFont="1" applyFill="1" applyBorder="1" applyAlignment="1">
      <alignment vertical="center"/>
    </xf>
    <xf numFmtId="0" fontId="15" fillId="0" borderId="55" xfId="0" applyFont="1" applyBorder="1" applyAlignment="1">
      <alignment vertical="center"/>
    </xf>
    <xf numFmtId="0" fontId="11" fillId="0" borderId="55" xfId="0" applyFont="1" applyBorder="1" applyAlignment="1">
      <alignment horizontal="center" vertical="center"/>
    </xf>
    <xf numFmtId="0" fontId="15" fillId="8" borderId="54" xfId="0" applyFont="1" applyFill="1" applyBorder="1" applyAlignment="1">
      <alignment vertical="center"/>
    </xf>
    <xf numFmtId="0" fontId="15" fillId="8" borderId="54" xfId="0" applyFont="1" applyFill="1" applyBorder="1" applyAlignment="1">
      <alignment horizontal="center" vertical="center"/>
    </xf>
    <xf numFmtId="0" fontId="15" fillId="8" borderId="56" xfId="0" applyFont="1" applyFill="1" applyBorder="1" applyAlignment="1">
      <alignment horizontal="center" vertical="center"/>
    </xf>
    <xf numFmtId="164" fontId="15" fillId="0" borderId="57" xfId="0" applyNumberFormat="1" applyFont="1" applyBorder="1" applyAlignment="1">
      <alignment horizontal="right" vertical="center" indent="2"/>
    </xf>
    <xf numFmtId="164" fontId="15" fillId="0" borderId="58" xfId="0" applyNumberFormat="1" applyFont="1" applyBorder="1" applyAlignment="1">
      <alignment horizontal="right" vertical="center" indent="2"/>
    </xf>
    <xf numFmtId="164" fontId="15" fillId="0" borderId="59" xfId="0" applyNumberFormat="1" applyFont="1" applyBorder="1" applyAlignment="1">
      <alignment horizontal="right" vertical="center" indent="2"/>
    </xf>
    <xf numFmtId="164" fontId="15" fillId="0" borderId="54" xfId="0" applyNumberFormat="1" applyFont="1" applyBorder="1" applyAlignment="1">
      <alignment horizontal="right" vertical="center" indent="2"/>
    </xf>
    <xf numFmtId="164" fontId="15" fillId="0" borderId="60" xfId="0" applyNumberFormat="1" applyFont="1" applyBorder="1" applyAlignment="1">
      <alignment horizontal="right" vertical="center" indent="2"/>
    </xf>
    <xf numFmtId="164" fontId="15" fillId="0" borderId="61" xfId="0" applyNumberFormat="1" applyFont="1" applyBorder="1" applyAlignment="1">
      <alignment horizontal="right" vertical="center" indent="2"/>
    </xf>
    <xf numFmtId="164" fontId="15" fillId="0" borderId="62" xfId="0" applyNumberFormat="1" applyFont="1" applyBorder="1" applyAlignment="1">
      <alignment horizontal="right" vertical="center" indent="2"/>
    </xf>
    <xf numFmtId="164" fontId="15" fillId="0" borderId="63" xfId="0" applyNumberFormat="1" applyFont="1" applyBorder="1" applyAlignment="1">
      <alignment horizontal="right" vertical="center" indent="2"/>
    </xf>
    <xf numFmtId="164" fontId="15" fillId="0" borderId="64" xfId="0" applyNumberFormat="1" applyFont="1" applyBorder="1" applyAlignment="1">
      <alignment horizontal="right" vertical="center" indent="2"/>
    </xf>
    <xf numFmtId="164" fontId="15" fillId="0" borderId="65" xfId="0" applyNumberFormat="1" applyFont="1" applyBorder="1" applyAlignment="1">
      <alignment horizontal="right" vertical="center" indent="2"/>
    </xf>
    <xf numFmtId="164" fontId="15" fillId="0" borderId="66" xfId="0" applyNumberFormat="1" applyFont="1" applyBorder="1" applyAlignment="1">
      <alignment horizontal="right" vertical="center" indent="2"/>
    </xf>
    <xf numFmtId="164" fontId="15" fillId="0" borderId="49" xfId="0" applyNumberFormat="1" applyFont="1" applyBorder="1" applyAlignment="1">
      <alignment horizontal="right" vertical="center" indent="2"/>
    </xf>
    <xf numFmtId="164" fontId="15" fillId="0" borderId="67" xfId="0" applyNumberFormat="1" applyFont="1" applyBorder="1" applyAlignment="1">
      <alignment horizontal="right" vertical="center" indent="2"/>
    </xf>
    <xf numFmtId="164" fontId="15" fillId="0" borderId="68" xfId="0" applyNumberFormat="1" applyFont="1" applyBorder="1" applyAlignment="1">
      <alignment horizontal="right" vertical="center" indent="2"/>
    </xf>
    <xf numFmtId="164" fontId="15" fillId="0" borderId="69" xfId="0" applyNumberFormat="1" applyFont="1" applyBorder="1" applyAlignment="1">
      <alignment horizontal="right" vertical="center" indent="2"/>
    </xf>
    <xf numFmtId="164" fontId="15" fillId="0" borderId="70" xfId="0" applyNumberFormat="1" applyFont="1" applyBorder="1" applyAlignment="1">
      <alignment horizontal="right" vertical="center" indent="2"/>
    </xf>
    <xf numFmtId="164" fontId="15" fillId="0" borderId="71" xfId="0" applyNumberFormat="1" applyFont="1" applyBorder="1" applyAlignment="1">
      <alignment horizontal="right" vertical="center" indent="2"/>
    </xf>
    <xf numFmtId="164" fontId="15" fillId="0" borderId="72" xfId="0" applyNumberFormat="1" applyFont="1" applyBorder="1" applyAlignment="1">
      <alignment horizontal="right" vertical="center" indent="2"/>
    </xf>
    <xf numFmtId="164" fontId="15" fillId="0" borderId="73" xfId="0" applyNumberFormat="1" applyFont="1" applyBorder="1" applyAlignment="1">
      <alignment horizontal="right" vertical="center" indent="2"/>
    </xf>
    <xf numFmtId="164" fontId="15" fillId="0" borderId="51" xfId="0" applyNumberFormat="1" applyFont="1" applyBorder="1" applyAlignment="1">
      <alignment horizontal="right" vertical="center" indent="2"/>
    </xf>
    <xf numFmtId="164" fontId="15" fillId="0" borderId="74" xfId="0" applyNumberFormat="1" applyFont="1" applyBorder="1" applyAlignment="1">
      <alignment horizontal="right" vertical="center" indent="2"/>
    </xf>
    <xf numFmtId="164" fontId="15" fillId="0" borderId="75" xfId="0" applyNumberFormat="1" applyFont="1" applyBorder="1" applyAlignment="1">
      <alignment horizontal="right" vertical="center" indent="2"/>
    </xf>
    <xf numFmtId="164" fontId="15" fillId="0" borderId="76" xfId="0" applyNumberFormat="1" applyFont="1" applyBorder="1" applyAlignment="1">
      <alignment horizontal="right" vertical="center" indent="2"/>
    </xf>
    <xf numFmtId="164" fontId="15" fillId="0" borderId="77" xfId="0" applyNumberFormat="1" applyFont="1" applyBorder="1" applyAlignment="1">
      <alignment horizontal="right" vertical="center" indent="2"/>
    </xf>
    <xf numFmtId="164" fontId="15" fillId="0" borderId="78" xfId="0" applyNumberFormat="1" applyFont="1" applyBorder="1" applyAlignment="1">
      <alignment horizontal="right" vertical="center" indent="2"/>
    </xf>
    <xf numFmtId="164" fontId="15" fillId="0" borderId="79" xfId="0" applyNumberFormat="1" applyFont="1" applyBorder="1" applyAlignment="1">
      <alignment horizontal="right" vertical="center" indent="2"/>
    </xf>
    <xf numFmtId="164" fontId="15" fillId="0" borderId="80" xfId="0" applyNumberFormat="1" applyFont="1" applyBorder="1" applyAlignment="1">
      <alignment horizontal="right" vertical="center" indent="2"/>
    </xf>
    <xf numFmtId="164" fontId="15" fillId="0" borderId="47" xfId="0" applyNumberFormat="1" applyFont="1" applyBorder="1" applyAlignment="1">
      <alignment horizontal="right" vertical="center" indent="2"/>
    </xf>
    <xf numFmtId="164" fontId="15" fillId="0" borderId="81" xfId="0" applyNumberFormat="1" applyFont="1" applyBorder="1" applyAlignment="1">
      <alignment horizontal="right" vertical="center" indent="2"/>
    </xf>
    <xf numFmtId="164" fontId="15" fillId="0" borderId="82" xfId="0" applyNumberFormat="1" applyFont="1" applyBorder="1" applyAlignment="1">
      <alignment horizontal="right" vertical="center" indent="2"/>
    </xf>
    <xf numFmtId="164" fontId="15" fillId="0" borderId="83" xfId="0" applyNumberFormat="1" applyFont="1" applyBorder="1" applyAlignment="1">
      <alignment horizontal="right" vertical="center" indent="2"/>
    </xf>
    <xf numFmtId="164" fontId="15" fillId="0" borderId="84" xfId="0" applyNumberFormat="1" applyFont="1" applyBorder="1" applyAlignment="1">
      <alignment horizontal="right" vertical="center" indent="2"/>
    </xf>
    <xf numFmtId="164" fontId="7" fillId="9" borderId="53" xfId="1" applyNumberFormat="1" applyFont="1" applyFill="1" applyBorder="1" applyAlignment="1">
      <alignment horizontal="right" vertical="center" indent="2"/>
    </xf>
    <xf numFmtId="164" fontId="7" fillId="10" borderId="62" xfId="1" applyNumberFormat="1" applyFont="1" applyFill="1" applyBorder="1" applyAlignment="1">
      <alignment horizontal="right" vertical="center" indent="2"/>
    </xf>
    <xf numFmtId="164" fontId="7" fillId="5" borderId="54" xfId="1" applyNumberFormat="1" applyFont="1" applyFill="1" applyBorder="1" applyAlignment="1">
      <alignment horizontal="right" vertical="center" indent="2"/>
    </xf>
    <xf numFmtId="164" fontId="15" fillId="11" borderId="62" xfId="0" applyNumberFormat="1" applyFont="1" applyFill="1" applyBorder="1" applyAlignment="1">
      <alignment horizontal="right" vertical="center" indent="2"/>
    </xf>
    <xf numFmtId="164" fontId="7" fillId="9" borderId="54" xfId="1" applyNumberFormat="1" applyFont="1" applyFill="1" applyBorder="1" applyAlignment="1">
      <alignment horizontal="right" vertical="center" indent="2"/>
    </xf>
    <xf numFmtId="164" fontId="7" fillId="4" borderId="62" xfId="1" applyNumberFormat="1" applyFont="1" applyFill="1" applyBorder="1" applyAlignment="1">
      <alignment horizontal="right" vertical="center" indent="2"/>
    </xf>
    <xf numFmtId="164" fontId="7" fillId="5" borderId="63" xfId="1" applyNumberFormat="1" applyFont="1" applyFill="1" applyBorder="1" applyAlignment="1">
      <alignment horizontal="right" vertical="center" indent="2"/>
    </xf>
    <xf numFmtId="164" fontId="7" fillId="0" borderId="53" xfId="1" applyNumberFormat="1" applyFont="1" applyBorder="1" applyAlignment="1">
      <alignment horizontal="right" vertical="center" indent="2"/>
    </xf>
    <xf numFmtId="164" fontId="7" fillId="0" borderId="59" xfId="1" applyNumberFormat="1" applyFont="1" applyBorder="1" applyAlignment="1">
      <alignment horizontal="right" vertical="center" indent="2"/>
    </xf>
    <xf numFmtId="164" fontId="7" fillId="9" borderId="48" xfId="1" applyNumberFormat="1" applyFont="1" applyFill="1" applyBorder="1" applyAlignment="1">
      <alignment horizontal="right" vertical="center" indent="2"/>
    </xf>
    <xf numFmtId="164" fontId="7" fillId="10" borderId="69" xfId="1" applyNumberFormat="1" applyFont="1" applyFill="1" applyBorder="1" applyAlignment="1">
      <alignment horizontal="right" vertical="center" indent="2"/>
    </xf>
    <xf numFmtId="164" fontId="7" fillId="12" borderId="49" xfId="1" applyNumberFormat="1" applyFont="1" applyFill="1" applyBorder="1" applyAlignment="1">
      <alignment horizontal="right" vertical="center" indent="2"/>
    </xf>
    <xf numFmtId="164" fontId="15" fillId="11" borderId="69" xfId="0" applyNumberFormat="1" applyFont="1" applyFill="1" applyBorder="1" applyAlignment="1">
      <alignment horizontal="right" vertical="center" indent="2"/>
    </xf>
    <xf numFmtId="164" fontId="7" fillId="9" borderId="49" xfId="1" applyNumberFormat="1" applyFont="1" applyFill="1" applyBorder="1" applyAlignment="1">
      <alignment horizontal="right" vertical="center" indent="2"/>
    </xf>
    <xf numFmtId="164" fontId="7" fillId="4" borderId="69" xfId="1" applyNumberFormat="1" applyFont="1" applyFill="1" applyBorder="1" applyAlignment="1">
      <alignment horizontal="right" vertical="center" indent="2"/>
    </xf>
    <xf numFmtId="164" fontId="7" fillId="5" borderId="70" xfId="1" applyNumberFormat="1" applyFont="1" applyFill="1" applyBorder="1" applyAlignment="1">
      <alignment horizontal="right" vertical="center" indent="2"/>
    </xf>
    <xf numFmtId="164" fontId="7" fillId="0" borderId="48" xfId="1" applyNumberFormat="1" applyFont="1" applyBorder="1" applyAlignment="1">
      <alignment horizontal="right" vertical="center" indent="2"/>
    </xf>
    <xf numFmtId="164" fontId="7" fillId="0" borderId="66" xfId="1" applyNumberFormat="1" applyFont="1" applyBorder="1" applyAlignment="1">
      <alignment horizontal="right" vertical="center" indent="2"/>
    </xf>
    <xf numFmtId="164" fontId="7" fillId="5" borderId="49" xfId="1" applyNumberFormat="1" applyFont="1" applyFill="1" applyBorder="1" applyAlignment="1">
      <alignment horizontal="right" vertical="center" indent="2"/>
    </xf>
    <xf numFmtId="164" fontId="7" fillId="9" borderId="50" xfId="1" applyNumberFormat="1" applyFont="1" applyFill="1" applyBorder="1" applyAlignment="1">
      <alignment horizontal="right" vertical="center" indent="2"/>
    </xf>
    <xf numFmtId="164" fontId="7" fillId="4" borderId="76" xfId="1" applyNumberFormat="1" applyFont="1" applyFill="1" applyBorder="1" applyAlignment="1">
      <alignment horizontal="right" vertical="center" indent="2"/>
    </xf>
    <xf numFmtId="164" fontId="7" fillId="5" borderId="51" xfId="1" applyNumberFormat="1" applyFont="1" applyFill="1" applyBorder="1" applyAlignment="1">
      <alignment horizontal="right" vertical="center" indent="2"/>
    </xf>
    <xf numFmtId="164" fontId="15" fillId="11" borderId="76" xfId="0" applyNumberFormat="1" applyFont="1" applyFill="1" applyBorder="1" applyAlignment="1">
      <alignment horizontal="right" vertical="center" indent="2"/>
    </xf>
    <xf numFmtId="164" fontId="7" fillId="9" borderId="51" xfId="1" applyNumberFormat="1" applyFont="1" applyFill="1" applyBorder="1" applyAlignment="1">
      <alignment horizontal="right" vertical="center" indent="2"/>
    </xf>
    <xf numFmtId="164" fontId="7" fillId="5" borderId="77" xfId="1" applyNumberFormat="1" applyFont="1" applyFill="1" applyBorder="1" applyAlignment="1">
      <alignment horizontal="right" vertical="center" indent="2"/>
    </xf>
    <xf numFmtId="164" fontId="7" fillId="0" borderId="50" xfId="1" applyNumberFormat="1" applyFont="1" applyBorder="1" applyAlignment="1">
      <alignment horizontal="right" vertical="center" indent="2"/>
    </xf>
    <xf numFmtId="164" fontId="7" fillId="0" borderId="73" xfId="1" applyNumberFormat="1" applyFont="1" applyBorder="1" applyAlignment="1">
      <alignment horizontal="right" vertical="center" indent="2"/>
    </xf>
    <xf numFmtId="164" fontId="15" fillId="9" borderId="46" xfId="0" applyNumberFormat="1" applyFont="1" applyFill="1" applyBorder="1" applyAlignment="1">
      <alignment horizontal="right" vertical="center" indent="2"/>
    </xf>
    <xf numFmtId="164" fontId="15" fillId="4" borderId="83" xfId="0" applyNumberFormat="1" applyFont="1" applyFill="1" applyBorder="1" applyAlignment="1">
      <alignment horizontal="right" vertical="center" indent="2"/>
    </xf>
    <xf numFmtId="164" fontId="15" fillId="5" borderId="47" xfId="0" applyNumberFormat="1" applyFont="1" applyFill="1" applyBorder="1" applyAlignment="1">
      <alignment horizontal="right" vertical="center" indent="2"/>
    </xf>
    <xf numFmtId="164" fontId="15" fillId="11" borderId="83" xfId="0" applyNumberFormat="1" applyFont="1" applyFill="1" applyBorder="1" applyAlignment="1">
      <alignment horizontal="right" vertical="center" indent="2"/>
    </xf>
    <xf numFmtId="164" fontId="15" fillId="9" borderId="47" xfId="0" applyNumberFormat="1" applyFont="1" applyFill="1" applyBorder="1" applyAlignment="1">
      <alignment horizontal="right" vertical="center" indent="2"/>
    </xf>
    <xf numFmtId="164" fontId="15" fillId="5" borderId="84" xfId="0" applyNumberFormat="1" applyFont="1" applyFill="1" applyBorder="1" applyAlignment="1">
      <alignment horizontal="right" vertical="center" indent="2"/>
    </xf>
    <xf numFmtId="164" fontId="15" fillId="0" borderId="46" xfId="0" applyNumberFormat="1" applyFont="1" applyBorder="1" applyAlignment="1">
      <alignment horizontal="right" vertical="center" indent="2"/>
    </xf>
    <xf numFmtId="164" fontId="15" fillId="9" borderId="48" xfId="0" applyNumberFormat="1" applyFont="1" applyFill="1" applyBorder="1" applyAlignment="1">
      <alignment horizontal="right" vertical="center" indent="2"/>
    </xf>
    <xf numFmtId="164" fontId="15" fillId="4" borderId="69" xfId="0" applyNumberFormat="1" applyFont="1" applyFill="1" applyBorder="1" applyAlignment="1">
      <alignment horizontal="right" vertical="center" indent="2"/>
    </xf>
    <xf numFmtId="164" fontId="15" fillId="5" borderId="49" xfId="0" applyNumberFormat="1" applyFont="1" applyFill="1" applyBorder="1" applyAlignment="1">
      <alignment horizontal="right" vertical="center" indent="2"/>
    </xf>
    <xf numFmtId="164" fontId="15" fillId="9" borderId="49" xfId="0" applyNumberFormat="1" applyFont="1" applyFill="1" applyBorder="1" applyAlignment="1">
      <alignment horizontal="right" vertical="center" indent="2"/>
    </xf>
    <xf numFmtId="164" fontId="15" fillId="5" borderId="70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Border="1" applyAlignment="1">
      <alignment horizontal="right" vertical="center" indent="2"/>
    </xf>
    <xf numFmtId="164" fontId="15" fillId="9" borderId="50" xfId="0" applyNumberFormat="1" applyFont="1" applyFill="1" applyBorder="1" applyAlignment="1">
      <alignment horizontal="right" vertical="center" indent="2"/>
    </xf>
    <xf numFmtId="164" fontId="15" fillId="4" borderId="76" xfId="0" applyNumberFormat="1" applyFont="1" applyFill="1" applyBorder="1" applyAlignment="1">
      <alignment horizontal="right" vertical="center" indent="2"/>
    </xf>
    <xf numFmtId="164" fontId="15" fillId="5" borderId="51" xfId="0" applyNumberFormat="1" applyFont="1" applyFill="1" applyBorder="1" applyAlignment="1">
      <alignment horizontal="right" vertical="center" indent="2"/>
    </xf>
    <xf numFmtId="164" fontId="15" fillId="9" borderId="51" xfId="0" applyNumberFormat="1" applyFont="1" applyFill="1" applyBorder="1" applyAlignment="1">
      <alignment horizontal="right" vertical="center" indent="2"/>
    </xf>
    <xf numFmtId="164" fontId="15" fillId="5" borderId="77" xfId="0" applyNumberFormat="1" applyFont="1" applyFill="1" applyBorder="1" applyAlignment="1">
      <alignment horizontal="right" vertical="center" indent="2"/>
    </xf>
    <xf numFmtId="164" fontId="15" fillId="0" borderId="50" xfId="0" applyNumberFormat="1" applyFont="1" applyBorder="1" applyAlignment="1">
      <alignment horizontal="right" vertical="center" indent="2"/>
    </xf>
    <xf numFmtId="164" fontId="16" fillId="0" borderId="66" xfId="0" applyNumberFormat="1" applyFont="1" applyBorder="1" applyAlignment="1">
      <alignment horizontal="right" vertical="center" indent="2"/>
    </xf>
    <xf numFmtId="166" fontId="10" fillId="0" borderId="0" xfId="0" applyNumberFormat="1" applyFont="1" applyAlignment="1">
      <alignment horizontal="center"/>
    </xf>
    <xf numFmtId="0" fontId="6" fillId="0" borderId="11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1" xfId="1" applyFont="1" applyBorder="1"/>
    <xf numFmtId="165" fontId="13" fillId="0" borderId="0" xfId="0" applyNumberFormat="1" applyFont="1" applyAlignment="1">
      <alignment horizontal="center"/>
    </xf>
    <xf numFmtId="0" fontId="2" fillId="0" borderId="35" xfId="1" applyFont="1" applyBorder="1" applyAlignment="1">
      <alignment horizontal="center"/>
    </xf>
    <xf numFmtId="0" fontId="2" fillId="0" borderId="36" xfId="1" applyFont="1" applyBorder="1" applyAlignment="1">
      <alignment horizontal="center"/>
    </xf>
    <xf numFmtId="0" fontId="2" fillId="0" borderId="32" xfId="1" applyFont="1" applyBorder="1"/>
    <xf numFmtId="164" fontId="10" fillId="0" borderId="16" xfId="0" applyNumberFormat="1" applyFont="1" applyBorder="1" applyAlignment="1">
      <alignment horizontal="center"/>
    </xf>
    <xf numFmtId="164" fontId="10" fillId="0" borderId="6" xfId="0" applyNumberFormat="1" applyFont="1" applyBorder="1" applyAlignment="1">
      <alignment horizontal="center"/>
    </xf>
    <xf numFmtId="167" fontId="6" fillId="6" borderId="8" xfId="1" applyNumberFormat="1" applyFont="1" applyFill="1" applyBorder="1" applyAlignment="1">
      <alignment horizontal="center"/>
    </xf>
    <xf numFmtId="165" fontId="10" fillId="6" borderId="8" xfId="0" applyNumberFormat="1" applyFont="1" applyFill="1" applyBorder="1" applyAlignment="1">
      <alignment horizontal="center" vertical="center"/>
    </xf>
    <xf numFmtId="165" fontId="10" fillId="6" borderId="34" xfId="0" applyNumberFormat="1" applyFont="1" applyFill="1" applyBorder="1" applyAlignment="1">
      <alignment horizontal="center" vertical="center"/>
    </xf>
    <xf numFmtId="0" fontId="2" fillId="0" borderId="24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23" xfId="1" applyFont="1" applyBorder="1"/>
    <xf numFmtId="0" fontId="2" fillId="0" borderId="25" xfId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" fillId="0" borderId="27" xfId="1" applyFont="1" applyBorder="1"/>
    <xf numFmtId="164" fontId="10" fillId="0" borderId="85" xfId="0" applyNumberFormat="1" applyFont="1" applyBorder="1" applyAlignment="1">
      <alignment horizontal="center"/>
    </xf>
    <xf numFmtId="165" fontId="13" fillId="6" borderId="86" xfId="0" applyNumberFormat="1" applyFont="1" applyFill="1" applyBorder="1" applyAlignment="1">
      <alignment horizontal="center"/>
    </xf>
    <xf numFmtId="164" fontId="15" fillId="9" borderId="53" xfId="0" applyNumberFormat="1" applyFont="1" applyFill="1" applyBorder="1" applyAlignment="1">
      <alignment horizontal="right" vertical="center" indent="2"/>
    </xf>
    <xf numFmtId="164" fontId="15" fillId="4" borderId="62" xfId="0" applyNumberFormat="1" applyFont="1" applyFill="1" applyBorder="1" applyAlignment="1">
      <alignment horizontal="right" vertical="center" indent="2"/>
    </xf>
    <xf numFmtId="164" fontId="15" fillId="5" borderId="54" xfId="0" applyNumberFormat="1" applyFont="1" applyFill="1" applyBorder="1" applyAlignment="1">
      <alignment horizontal="right" vertical="center" indent="2"/>
    </xf>
    <xf numFmtId="164" fontId="15" fillId="9" borderId="54" xfId="0" applyNumberFormat="1" applyFont="1" applyFill="1" applyBorder="1" applyAlignment="1">
      <alignment horizontal="right" vertical="center" indent="2"/>
    </xf>
    <xf numFmtId="164" fontId="15" fillId="0" borderId="53" xfId="0" applyNumberFormat="1" applyFont="1" applyBorder="1" applyAlignment="1">
      <alignment horizontal="right" vertical="center" indent="2"/>
    </xf>
    <xf numFmtId="164" fontId="15" fillId="9" borderId="87" xfId="0" applyNumberFormat="1" applyFont="1" applyFill="1" applyBorder="1" applyAlignment="1">
      <alignment horizontal="right" vertical="center" indent="2"/>
    </xf>
    <xf numFmtId="164" fontId="15" fillId="4" borderId="88" xfId="0" applyNumberFormat="1" applyFont="1" applyFill="1" applyBorder="1" applyAlignment="1">
      <alignment horizontal="right" vertical="center" indent="2"/>
    </xf>
    <xf numFmtId="164" fontId="15" fillId="5" borderId="89" xfId="0" applyNumberFormat="1" applyFont="1" applyFill="1" applyBorder="1" applyAlignment="1">
      <alignment horizontal="right" vertical="center" indent="2"/>
    </xf>
    <xf numFmtId="164" fontId="15" fillId="11" borderId="88" xfId="0" applyNumberFormat="1" applyFont="1" applyFill="1" applyBorder="1" applyAlignment="1">
      <alignment horizontal="right" vertical="center" indent="2"/>
    </xf>
    <xf numFmtId="164" fontId="15" fillId="9" borderId="89" xfId="0" applyNumberFormat="1" applyFont="1" applyFill="1" applyBorder="1" applyAlignment="1">
      <alignment horizontal="right" vertical="center" indent="2"/>
    </xf>
    <xf numFmtId="164" fontId="15" fillId="5" borderId="90" xfId="0" applyNumberFormat="1" applyFont="1" applyFill="1" applyBorder="1" applyAlignment="1">
      <alignment horizontal="right" vertical="center" indent="2"/>
    </xf>
    <xf numFmtId="164" fontId="15" fillId="0" borderId="87" xfId="0" applyNumberFormat="1" applyFont="1" applyBorder="1" applyAlignment="1">
      <alignment horizontal="right" vertical="center" indent="2"/>
    </xf>
    <xf numFmtId="164" fontId="15" fillId="0" borderId="91" xfId="0" applyNumberFormat="1" applyFont="1" applyBorder="1" applyAlignment="1">
      <alignment horizontal="right" vertical="center" indent="2"/>
    </xf>
    <xf numFmtId="0" fontId="15" fillId="0" borderId="92" xfId="0" applyFont="1" applyBorder="1" applyAlignment="1">
      <alignment vertical="center"/>
    </xf>
    <xf numFmtId="10" fontId="15" fillId="0" borderId="0" xfId="2" applyNumberFormat="1" applyFont="1" applyAlignment="1">
      <alignment vertical="center"/>
    </xf>
    <xf numFmtId="2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vertical="center"/>
    </xf>
    <xf numFmtId="17" fontId="15" fillId="0" borderId="0" xfId="0" applyNumberFormat="1" applyFont="1" applyAlignment="1">
      <alignment vertical="center"/>
    </xf>
    <xf numFmtId="0" fontId="11" fillId="8" borderId="93" xfId="0" applyFont="1" applyFill="1" applyBorder="1" applyAlignment="1">
      <alignment vertical="center"/>
    </xf>
    <xf numFmtId="0" fontId="11" fillId="8" borderId="94" xfId="0" applyFont="1" applyFill="1" applyBorder="1" applyAlignment="1">
      <alignment vertical="center"/>
    </xf>
    <xf numFmtId="164" fontId="16" fillId="13" borderId="62" xfId="0" applyNumberFormat="1" applyFont="1" applyFill="1" applyBorder="1" applyAlignment="1">
      <alignment horizontal="right" vertical="center" indent="2"/>
    </xf>
    <xf numFmtId="164" fontId="16" fillId="13" borderId="69" xfId="0" applyNumberFormat="1" applyFont="1" applyFill="1" applyBorder="1" applyAlignment="1">
      <alignment horizontal="right" vertical="center" indent="2"/>
    </xf>
    <xf numFmtId="164" fontId="16" fillId="13" borderId="76" xfId="0" applyNumberFormat="1" applyFont="1" applyFill="1" applyBorder="1" applyAlignment="1">
      <alignment horizontal="right" vertical="center" indent="2"/>
    </xf>
    <xf numFmtId="164" fontId="16" fillId="13" borderId="83" xfId="0" applyNumberFormat="1" applyFont="1" applyFill="1" applyBorder="1" applyAlignment="1">
      <alignment horizontal="right" vertical="center" indent="2"/>
    </xf>
    <xf numFmtId="164" fontId="16" fillId="13" borderId="53" xfId="0" applyNumberFormat="1" applyFont="1" applyFill="1" applyBorder="1" applyAlignment="1">
      <alignment horizontal="right" vertical="center" indent="2"/>
    </xf>
    <xf numFmtId="164" fontId="16" fillId="13" borderId="59" xfId="0" applyNumberFormat="1" applyFont="1" applyFill="1" applyBorder="1" applyAlignment="1">
      <alignment horizontal="right" vertical="center" indent="2"/>
    </xf>
    <xf numFmtId="164" fontId="16" fillId="13" borderId="48" xfId="0" applyNumberFormat="1" applyFont="1" applyFill="1" applyBorder="1" applyAlignment="1">
      <alignment horizontal="right" vertical="center" indent="2"/>
    </xf>
    <xf numFmtId="164" fontId="16" fillId="13" borderId="66" xfId="0" applyNumberFormat="1" applyFont="1" applyFill="1" applyBorder="1" applyAlignment="1">
      <alignment horizontal="right" vertical="center" indent="2"/>
    </xf>
    <xf numFmtId="164" fontId="16" fillId="13" borderId="50" xfId="0" applyNumberFormat="1" applyFont="1" applyFill="1" applyBorder="1" applyAlignment="1">
      <alignment horizontal="right" vertical="center" indent="2"/>
    </xf>
    <xf numFmtId="164" fontId="16" fillId="13" borderId="73" xfId="0" applyNumberFormat="1" applyFont="1" applyFill="1" applyBorder="1" applyAlignment="1">
      <alignment horizontal="right" vertical="center" indent="2"/>
    </xf>
    <xf numFmtId="164" fontId="16" fillId="13" borderId="46" xfId="0" applyNumberFormat="1" applyFont="1" applyFill="1" applyBorder="1" applyAlignment="1">
      <alignment horizontal="right" vertical="center" indent="2"/>
    </xf>
    <xf numFmtId="164" fontId="16" fillId="13" borderId="80" xfId="0" applyNumberFormat="1" applyFont="1" applyFill="1" applyBorder="1" applyAlignment="1">
      <alignment horizontal="right" vertical="center" indent="2"/>
    </xf>
    <xf numFmtId="164" fontId="16" fillId="13" borderId="88" xfId="0" applyNumberFormat="1" applyFont="1" applyFill="1" applyBorder="1" applyAlignment="1">
      <alignment horizontal="right" vertical="center" indent="2"/>
    </xf>
    <xf numFmtId="164" fontId="16" fillId="13" borderId="48" xfId="1" applyNumberFormat="1" applyFont="1" applyFill="1" applyBorder="1" applyAlignment="1">
      <alignment horizontal="right" vertical="center" indent="2"/>
    </xf>
    <xf numFmtId="164" fontId="16" fillId="13" borderId="66" xfId="1" applyNumberFormat="1" applyFont="1" applyFill="1" applyBorder="1" applyAlignment="1">
      <alignment horizontal="right" vertical="center" indent="2"/>
    </xf>
    <xf numFmtId="164" fontId="16" fillId="13" borderId="50" xfId="1" applyNumberFormat="1" applyFont="1" applyFill="1" applyBorder="1" applyAlignment="1">
      <alignment horizontal="right" vertical="center" indent="2"/>
    </xf>
    <xf numFmtId="164" fontId="16" fillId="13" borderId="73" xfId="1" applyNumberFormat="1" applyFont="1" applyFill="1" applyBorder="1" applyAlignment="1">
      <alignment horizontal="right" vertical="center" indent="2"/>
    </xf>
    <xf numFmtId="164" fontId="16" fillId="13" borderId="87" xfId="0" applyNumberFormat="1" applyFont="1" applyFill="1" applyBorder="1" applyAlignment="1">
      <alignment horizontal="right" vertical="center" indent="2"/>
    </xf>
    <xf numFmtId="164" fontId="16" fillId="13" borderId="91" xfId="0" applyNumberFormat="1" applyFont="1" applyFill="1" applyBorder="1" applyAlignment="1">
      <alignment horizontal="right" vertical="center" indent="2"/>
    </xf>
    <xf numFmtId="164" fontId="16" fillId="13" borderId="53" xfId="1" applyNumberFormat="1" applyFont="1" applyFill="1" applyBorder="1" applyAlignment="1">
      <alignment horizontal="right" vertical="center" indent="2"/>
    </xf>
    <xf numFmtId="164" fontId="16" fillId="13" borderId="59" xfId="1" applyNumberFormat="1" applyFont="1" applyFill="1" applyBorder="1" applyAlignment="1">
      <alignment horizontal="right" vertical="center" indent="2"/>
    </xf>
    <xf numFmtId="164" fontId="12" fillId="13" borderId="69" xfId="0" applyNumberFormat="1" applyFont="1" applyFill="1" applyBorder="1" applyAlignment="1">
      <alignment horizontal="center" vertical="center"/>
    </xf>
    <xf numFmtId="164" fontId="12" fillId="13" borderId="48" xfId="0" applyNumberFormat="1" applyFont="1" applyFill="1" applyBorder="1" applyAlignment="1">
      <alignment horizontal="center" vertical="center"/>
    </xf>
    <xf numFmtId="164" fontId="12" fillId="13" borderId="66" xfId="0" applyNumberFormat="1" applyFont="1" applyFill="1" applyBorder="1" applyAlignment="1">
      <alignment horizontal="center" vertical="center"/>
    </xf>
    <xf numFmtId="0" fontId="18" fillId="13" borderId="6" xfId="1" applyFont="1" applyFill="1" applyBorder="1" applyAlignment="1">
      <alignment horizontal="center" vertical="center"/>
    </xf>
    <xf numFmtId="0" fontId="18" fillId="13" borderId="32" xfId="1" applyFont="1" applyFill="1" applyBorder="1" applyAlignment="1">
      <alignment horizontal="center" vertical="center"/>
    </xf>
    <xf numFmtId="164" fontId="16" fillId="13" borderId="65" xfId="0" applyNumberFormat="1" applyFont="1" applyFill="1" applyBorder="1" applyAlignment="1">
      <alignment horizontal="right" vertical="center" indent="2"/>
    </xf>
    <xf numFmtId="0" fontId="15" fillId="0" borderId="102" xfId="0" applyFont="1" applyBorder="1" applyAlignment="1">
      <alignment horizontal="center" vertical="center"/>
    </xf>
    <xf numFmtId="0" fontId="15" fillId="0" borderId="103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164" fontId="15" fillId="0" borderId="101" xfId="0" applyNumberFormat="1" applyFont="1" applyBorder="1" applyAlignment="1">
      <alignment horizontal="right" vertical="center" indent="2"/>
    </xf>
    <xf numFmtId="164" fontId="15" fillId="0" borderId="105" xfId="0" applyNumberFormat="1" applyFont="1" applyBorder="1" applyAlignment="1">
      <alignment horizontal="right" vertical="center" indent="2"/>
    </xf>
    <xf numFmtId="164" fontId="15" fillId="0" borderId="106" xfId="0" applyNumberFormat="1" applyFont="1" applyBorder="1" applyAlignment="1">
      <alignment horizontal="right" vertical="center" indent="2"/>
    </xf>
    <xf numFmtId="164" fontId="15" fillId="0" borderId="103" xfId="0" applyNumberFormat="1" applyFont="1" applyBorder="1" applyAlignment="1">
      <alignment horizontal="right" vertical="center" indent="2"/>
    </xf>
    <xf numFmtId="164" fontId="15" fillId="0" borderId="107" xfId="0" applyNumberFormat="1" applyFont="1" applyBorder="1" applyAlignment="1">
      <alignment horizontal="right" vertical="center" indent="2"/>
    </xf>
    <xf numFmtId="164" fontId="15" fillId="0" borderId="108" xfId="0" applyNumberFormat="1" applyFont="1" applyBorder="1" applyAlignment="1">
      <alignment horizontal="right" vertical="center" indent="2"/>
    </xf>
    <xf numFmtId="164" fontId="15" fillId="0" borderId="109" xfId="0" applyNumberFormat="1" applyFont="1" applyBorder="1" applyAlignment="1">
      <alignment horizontal="right" vertical="center" indent="2"/>
    </xf>
    <xf numFmtId="164" fontId="15" fillId="0" borderId="104" xfId="0" applyNumberFormat="1" applyFont="1" applyBorder="1" applyAlignment="1">
      <alignment horizontal="right" vertical="center" indent="2"/>
    </xf>
    <xf numFmtId="164" fontId="15" fillId="9" borderId="102" xfId="0" applyNumberFormat="1" applyFont="1" applyFill="1" applyBorder="1" applyAlignment="1">
      <alignment horizontal="right" vertical="center" indent="2"/>
    </xf>
    <xf numFmtId="164" fontId="15" fillId="4" borderId="109" xfId="0" applyNumberFormat="1" applyFont="1" applyFill="1" applyBorder="1" applyAlignment="1">
      <alignment horizontal="right" vertical="center" indent="2"/>
    </xf>
    <xf numFmtId="164" fontId="15" fillId="5" borderId="103" xfId="0" applyNumberFormat="1" applyFont="1" applyFill="1" applyBorder="1" applyAlignment="1">
      <alignment horizontal="right" vertical="center" indent="2"/>
    </xf>
    <xf numFmtId="164" fontId="16" fillId="13" borderId="109" xfId="0" applyNumberFormat="1" applyFont="1" applyFill="1" applyBorder="1" applyAlignment="1">
      <alignment horizontal="right" vertical="center" indent="2"/>
    </xf>
    <xf numFmtId="164" fontId="15" fillId="9" borderId="103" xfId="0" applyNumberFormat="1" applyFont="1" applyFill="1" applyBorder="1" applyAlignment="1">
      <alignment horizontal="right" vertical="center" indent="2"/>
    </xf>
    <xf numFmtId="164" fontId="16" fillId="13" borderId="105" xfId="0" applyNumberFormat="1" applyFont="1" applyFill="1" applyBorder="1" applyAlignment="1">
      <alignment horizontal="right" vertical="center" indent="2"/>
    </xf>
    <xf numFmtId="164" fontId="16" fillId="13" borderId="106" xfId="0" applyNumberFormat="1" applyFont="1" applyFill="1" applyBorder="1" applyAlignment="1">
      <alignment horizontal="right" vertical="center" indent="2"/>
    </xf>
    <xf numFmtId="0" fontId="1" fillId="0" borderId="39" xfId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1" fillId="0" borderId="34" xfId="1" applyBorder="1" applyAlignment="1">
      <alignment horizontal="center" vertical="center"/>
    </xf>
    <xf numFmtId="0" fontId="15" fillId="8" borderId="23" xfId="0" applyFont="1" applyFill="1" applyBorder="1" applyAlignment="1">
      <alignment vertical="center"/>
    </xf>
    <xf numFmtId="0" fontId="4" fillId="8" borderId="0" xfId="1" applyFont="1" applyFill="1" applyAlignment="1">
      <alignment horizontal="left" vertical="center" indent="5"/>
    </xf>
    <xf numFmtId="0" fontId="4" fillId="8" borderId="0" xfId="1" applyFont="1" applyFill="1" applyAlignment="1">
      <alignment vertical="center"/>
    </xf>
    <xf numFmtId="164" fontId="15" fillId="0" borderId="117" xfId="0" applyNumberFormat="1" applyFont="1" applyBorder="1" applyAlignment="1">
      <alignment horizontal="right" vertical="center" indent="2"/>
    </xf>
    <xf numFmtId="164" fontId="15" fillId="0" borderId="114" xfId="0" applyNumberFormat="1" applyFont="1" applyBorder="1" applyAlignment="1">
      <alignment horizontal="right" vertical="center" indent="2"/>
    </xf>
    <xf numFmtId="164" fontId="15" fillId="0" borderId="116" xfId="0" applyNumberFormat="1" applyFont="1" applyBorder="1" applyAlignment="1">
      <alignment horizontal="right" vertical="center" indent="2"/>
    </xf>
    <xf numFmtId="0" fontId="15" fillId="0" borderId="113" xfId="0" applyFont="1" applyBorder="1" applyAlignment="1">
      <alignment horizontal="center" vertical="center"/>
    </xf>
    <xf numFmtId="0" fontId="15" fillId="0" borderId="118" xfId="0" applyFont="1" applyBorder="1" applyAlignment="1">
      <alignment horizontal="center" vertical="center"/>
    </xf>
    <xf numFmtId="0" fontId="22" fillId="8" borderId="0" xfId="0" applyFont="1" applyFill="1" applyAlignment="1">
      <alignment vertical="center"/>
    </xf>
    <xf numFmtId="0" fontId="4" fillId="2" borderId="0" xfId="0" quotePrefix="1" applyFont="1" applyFill="1" applyAlignment="1">
      <alignment horizontal="center" vertical="center"/>
    </xf>
    <xf numFmtId="165" fontId="24" fillId="0" borderId="58" xfId="0" applyNumberFormat="1" applyFont="1" applyBorder="1" applyAlignment="1">
      <alignment horizontal="right" vertical="center" indent="2"/>
    </xf>
    <xf numFmtId="165" fontId="24" fillId="0" borderId="62" xfId="0" applyNumberFormat="1" applyFont="1" applyBorder="1" applyAlignment="1">
      <alignment horizontal="right" vertical="center" indent="2"/>
    </xf>
    <xf numFmtId="165" fontId="24" fillId="0" borderId="59" xfId="0" applyNumberFormat="1" applyFont="1" applyBorder="1" applyAlignment="1">
      <alignment horizontal="right" vertical="center" indent="2"/>
    </xf>
    <xf numFmtId="168" fontId="25" fillId="9" borderId="53" xfId="1" applyNumberFormat="1" applyFont="1" applyFill="1" applyBorder="1" applyAlignment="1">
      <alignment horizontal="right" vertical="center" indent="2"/>
    </xf>
    <xf numFmtId="168" fontId="25" fillId="10" borderId="62" xfId="1" applyNumberFormat="1" applyFont="1" applyFill="1" applyBorder="1" applyAlignment="1">
      <alignment horizontal="right" vertical="center" indent="2"/>
    </xf>
    <xf numFmtId="168" fontId="25" fillId="5" borderId="54" xfId="1" applyNumberFormat="1" applyFont="1" applyFill="1" applyBorder="1" applyAlignment="1">
      <alignment horizontal="right" vertical="center" indent="2"/>
    </xf>
    <xf numFmtId="168" fontId="26" fillId="13" borderId="62" xfId="0" applyNumberFormat="1" applyFont="1" applyFill="1" applyBorder="1" applyAlignment="1">
      <alignment horizontal="right" vertical="center" indent="2"/>
    </xf>
    <xf numFmtId="168" fontId="25" fillId="9" borderId="54" xfId="1" applyNumberFormat="1" applyFont="1" applyFill="1" applyBorder="1" applyAlignment="1">
      <alignment horizontal="right" vertical="center" indent="2"/>
    </xf>
    <xf numFmtId="168" fontId="25" fillId="4" borderId="62" xfId="1" applyNumberFormat="1" applyFont="1" applyFill="1" applyBorder="1" applyAlignment="1">
      <alignment horizontal="right" vertical="center" indent="2"/>
    </xf>
    <xf numFmtId="168" fontId="25" fillId="5" borderId="63" xfId="1" applyNumberFormat="1" applyFont="1" applyFill="1" applyBorder="1" applyAlignment="1">
      <alignment horizontal="right" vertical="center" indent="2"/>
    </xf>
    <xf numFmtId="168" fontId="26" fillId="13" borderId="53" xfId="1" applyNumberFormat="1" applyFont="1" applyFill="1" applyBorder="1" applyAlignment="1">
      <alignment horizontal="right" vertical="center" indent="2"/>
    </xf>
    <xf numFmtId="168" fontId="26" fillId="13" borderId="59" xfId="1" applyNumberFormat="1" applyFont="1" applyFill="1" applyBorder="1" applyAlignment="1">
      <alignment horizontal="right" vertical="center" indent="2"/>
    </xf>
    <xf numFmtId="164" fontId="27" fillId="8" borderId="0" xfId="0" applyNumberFormat="1" applyFont="1" applyFill="1" applyAlignment="1">
      <alignment horizontal="center" vertical="center"/>
    </xf>
    <xf numFmtId="0" fontId="28" fillId="8" borderId="0" xfId="0" applyFont="1" applyFill="1" applyAlignment="1">
      <alignment vertical="center"/>
    </xf>
    <xf numFmtId="0" fontId="28" fillId="0" borderId="55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8" borderId="0" xfId="0" applyFont="1" applyFill="1" applyAlignment="1">
      <alignment vertical="center"/>
    </xf>
    <xf numFmtId="0" fontId="31" fillId="14" borderId="0" xfId="0" quotePrefix="1" applyFont="1" applyFill="1" applyAlignment="1">
      <alignment horizontal="center" vertical="center"/>
    </xf>
    <xf numFmtId="0" fontId="29" fillId="8" borderId="10" xfId="0" applyFont="1" applyFill="1" applyBorder="1" applyAlignment="1">
      <alignment horizontal="left" vertical="center" indent="5"/>
    </xf>
    <xf numFmtId="0" fontId="28" fillId="8" borderId="24" xfId="0" applyFont="1" applyFill="1" applyBorder="1" applyAlignment="1">
      <alignment vertical="center"/>
    </xf>
    <xf numFmtId="0" fontId="29" fillId="8" borderId="24" xfId="0" applyFont="1" applyFill="1" applyBorder="1" applyAlignment="1">
      <alignment vertical="center"/>
    </xf>
    <xf numFmtId="0" fontId="29" fillId="8" borderId="93" xfId="0" applyFont="1" applyFill="1" applyBorder="1" applyAlignment="1">
      <alignment vertical="center"/>
    </xf>
    <xf numFmtId="0" fontId="29" fillId="8" borderId="11" xfId="0" applyFont="1" applyFill="1" applyBorder="1" applyAlignment="1">
      <alignment horizontal="left" vertical="center" indent="5"/>
    </xf>
    <xf numFmtId="0" fontId="29" fillId="8" borderId="94" xfId="0" applyFont="1" applyFill="1" applyBorder="1" applyAlignment="1">
      <alignment vertical="center"/>
    </xf>
    <xf numFmtId="0" fontId="28" fillId="8" borderId="8" xfId="0" applyFont="1" applyFill="1" applyBorder="1" applyAlignment="1">
      <alignment vertical="center"/>
    </xf>
    <xf numFmtId="0" fontId="28" fillId="8" borderId="0" xfId="0" applyFont="1" applyFill="1" applyAlignment="1">
      <alignment horizontal="center" vertical="center"/>
    </xf>
    <xf numFmtId="165" fontId="33" fillId="6" borderId="9" xfId="0" applyNumberFormat="1" applyFont="1" applyFill="1" applyBorder="1" applyAlignment="1">
      <alignment horizontal="center" vertical="center"/>
    </xf>
    <xf numFmtId="165" fontId="33" fillId="6" borderId="39" xfId="0" applyNumberFormat="1" applyFont="1" applyFill="1" applyBorder="1" applyAlignment="1">
      <alignment horizontal="center" vertical="center"/>
    </xf>
    <xf numFmtId="165" fontId="33" fillId="6" borderId="1" xfId="0" applyNumberFormat="1" applyFont="1" applyFill="1" applyBorder="1" applyAlignment="1">
      <alignment horizontal="center" vertical="center"/>
    </xf>
    <xf numFmtId="165" fontId="33" fillId="8" borderId="11" xfId="0" applyNumberFormat="1" applyFont="1" applyFill="1" applyBorder="1" applyAlignment="1">
      <alignment horizontal="center" vertical="center"/>
    </xf>
    <xf numFmtId="0" fontId="34" fillId="6" borderId="39" xfId="1" applyFont="1" applyFill="1" applyBorder="1" applyAlignment="1">
      <alignment horizontal="center" vertical="center"/>
    </xf>
    <xf numFmtId="167" fontId="34" fillId="6" borderId="33" xfId="1" applyNumberFormat="1" applyFont="1" applyFill="1" applyBorder="1" applyAlignment="1">
      <alignment horizontal="center" vertical="center"/>
    </xf>
    <xf numFmtId="0" fontId="34" fillId="6" borderId="33" xfId="1" applyFont="1" applyFill="1" applyBorder="1" applyAlignment="1">
      <alignment horizontal="center" vertical="center"/>
    </xf>
    <xf numFmtId="0" fontId="34" fillId="6" borderId="34" xfId="1" applyFont="1" applyFill="1" applyBorder="1" applyAlignment="1">
      <alignment horizontal="center" vertical="center"/>
    </xf>
    <xf numFmtId="167" fontId="34" fillId="6" borderId="1" xfId="1" applyNumberFormat="1" applyFont="1" applyFill="1" applyBorder="1" applyAlignment="1">
      <alignment horizontal="center" vertical="center"/>
    </xf>
    <xf numFmtId="0" fontId="29" fillId="8" borderId="0" xfId="0" applyFont="1" applyFill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8" xfId="0" applyFont="1" applyBorder="1" applyAlignment="1">
      <alignment vertical="center"/>
    </xf>
    <xf numFmtId="0" fontId="31" fillId="14" borderId="1" xfId="1" applyFont="1" applyFill="1" applyBorder="1" applyAlignment="1">
      <alignment horizontal="left" vertical="center" indent="5"/>
    </xf>
    <xf numFmtId="0" fontId="36" fillId="14" borderId="8" xfId="1" applyFont="1" applyFill="1" applyBorder="1" applyAlignment="1">
      <alignment vertical="center"/>
    </xf>
    <xf numFmtId="0" fontId="36" fillId="14" borderId="7" xfId="1" applyFont="1" applyFill="1" applyBorder="1" applyAlignment="1">
      <alignment vertical="center"/>
    </xf>
    <xf numFmtId="0" fontId="36" fillId="8" borderId="0" xfId="1" applyFont="1" applyFill="1" applyAlignment="1">
      <alignment vertical="center"/>
    </xf>
    <xf numFmtId="0" fontId="31" fillId="14" borderId="8" xfId="1" applyFont="1" applyFill="1" applyBorder="1" applyAlignment="1">
      <alignment vertical="center"/>
    </xf>
    <xf numFmtId="0" fontId="37" fillId="8" borderId="0" xfId="0" applyFont="1" applyFill="1" applyAlignment="1">
      <alignment vertical="center"/>
    </xf>
    <xf numFmtId="165" fontId="38" fillId="0" borderId="58" xfId="0" applyNumberFormat="1" applyFont="1" applyBorder="1" applyAlignment="1">
      <alignment horizontal="right" vertical="center" indent="2"/>
    </xf>
    <xf numFmtId="165" fontId="38" fillId="0" borderId="62" xfId="0" applyNumberFormat="1" applyFont="1" applyBorder="1" applyAlignment="1">
      <alignment horizontal="right" vertical="center" indent="2"/>
    </xf>
    <xf numFmtId="165" fontId="38" fillId="0" borderId="59" xfId="0" applyNumberFormat="1" applyFont="1" applyBorder="1" applyAlignment="1">
      <alignment horizontal="right" vertical="center" indent="2"/>
    </xf>
    <xf numFmtId="164" fontId="39" fillId="8" borderId="0" xfId="0" applyNumberFormat="1" applyFont="1" applyFill="1" applyAlignment="1">
      <alignment horizontal="center" vertical="center"/>
    </xf>
    <xf numFmtId="168" fontId="40" fillId="9" borderId="53" xfId="1" applyNumberFormat="1" applyFont="1" applyFill="1" applyBorder="1" applyAlignment="1">
      <alignment horizontal="right" vertical="center" indent="2"/>
    </xf>
    <xf numFmtId="168" fontId="40" fillId="10" borderId="62" xfId="1" applyNumberFormat="1" applyFont="1" applyFill="1" applyBorder="1" applyAlignment="1">
      <alignment horizontal="right" vertical="center" indent="2"/>
    </xf>
    <xf numFmtId="168" fontId="40" fillId="5" borderId="54" xfId="1" applyNumberFormat="1" applyFont="1" applyFill="1" applyBorder="1" applyAlignment="1">
      <alignment horizontal="right" vertical="center" indent="2"/>
    </xf>
    <xf numFmtId="168" fontId="41" fillId="13" borderId="62" xfId="0" applyNumberFormat="1" applyFont="1" applyFill="1" applyBorder="1" applyAlignment="1">
      <alignment horizontal="right" vertical="center" indent="2"/>
    </xf>
    <xf numFmtId="168" fontId="42" fillId="9" borderId="54" xfId="1" applyNumberFormat="1" applyFont="1" applyFill="1" applyBorder="1" applyAlignment="1">
      <alignment horizontal="right" vertical="center" indent="2"/>
    </xf>
    <xf numFmtId="168" fontId="40" fillId="4" borderId="62" xfId="1" applyNumberFormat="1" applyFont="1" applyFill="1" applyBorder="1" applyAlignment="1">
      <alignment horizontal="right" vertical="center" indent="2"/>
    </xf>
    <xf numFmtId="168" fontId="40" fillId="5" borderId="63" xfId="1" applyNumberFormat="1" applyFont="1" applyFill="1" applyBorder="1" applyAlignment="1">
      <alignment horizontal="right" vertical="center" indent="2"/>
    </xf>
    <xf numFmtId="168" fontId="41" fillId="13" borderId="53" xfId="1" applyNumberFormat="1" applyFont="1" applyFill="1" applyBorder="1" applyAlignment="1">
      <alignment horizontal="right" vertical="center" indent="2"/>
    </xf>
    <xf numFmtId="168" fontId="41" fillId="13" borderId="59" xfId="1" applyNumberFormat="1" applyFont="1" applyFill="1" applyBorder="1" applyAlignment="1">
      <alignment horizontal="right" vertical="center" indent="2"/>
    </xf>
    <xf numFmtId="0" fontId="34" fillId="0" borderId="39" xfId="1" applyFont="1" applyBorder="1" applyAlignment="1">
      <alignment horizontal="center" vertical="center"/>
    </xf>
    <xf numFmtId="0" fontId="34" fillId="0" borderId="33" xfId="1" applyFont="1" applyBorder="1" applyAlignment="1">
      <alignment horizontal="center" vertical="center"/>
    </xf>
    <xf numFmtId="0" fontId="34" fillId="0" borderId="34" xfId="1" applyFont="1" applyBorder="1" applyAlignment="1">
      <alignment horizontal="center" vertical="center"/>
    </xf>
    <xf numFmtId="0" fontId="34" fillId="8" borderId="0" xfId="1" applyFont="1" applyFill="1" applyAlignment="1">
      <alignment horizontal="center" vertical="center"/>
    </xf>
    <xf numFmtId="0" fontId="34" fillId="8" borderId="52" xfId="1" applyFont="1" applyFill="1" applyBorder="1" applyAlignment="1">
      <alignment horizontal="center" vertical="center" wrapText="1"/>
    </xf>
    <xf numFmtId="0" fontId="34" fillId="8" borderId="11" xfId="1" applyFont="1" applyFill="1" applyBorder="1" applyAlignment="1">
      <alignment horizontal="center" vertical="center"/>
    </xf>
    <xf numFmtId="0" fontId="44" fillId="13" borderId="6" xfId="1" applyFont="1" applyFill="1" applyBorder="1" applyAlignment="1">
      <alignment horizontal="center" vertical="center"/>
    </xf>
    <xf numFmtId="0" fontId="44" fillId="13" borderId="32" xfId="1" applyFont="1" applyFill="1" applyBorder="1" applyAlignment="1">
      <alignment horizontal="center" vertical="center"/>
    </xf>
    <xf numFmtId="0" fontId="36" fillId="0" borderId="53" xfId="1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164" fontId="28" fillId="0" borderId="58" xfId="0" applyNumberFormat="1" applyFont="1" applyBorder="1" applyAlignment="1">
      <alignment horizontal="right" vertical="center" indent="2"/>
    </xf>
    <xf numFmtId="164" fontId="28" fillId="0" borderId="62" xfId="0" applyNumberFormat="1" applyFont="1" applyBorder="1" applyAlignment="1">
      <alignment horizontal="right" vertical="center" indent="2"/>
    </xf>
    <xf numFmtId="164" fontId="28" fillId="0" borderId="59" xfId="0" applyNumberFormat="1" applyFont="1" applyBorder="1" applyAlignment="1">
      <alignment horizontal="right" vertical="center" indent="2"/>
    </xf>
    <xf numFmtId="164" fontId="28" fillId="8" borderId="0" xfId="0" applyNumberFormat="1" applyFont="1" applyFill="1" applyAlignment="1">
      <alignment horizontal="center" vertical="center"/>
    </xf>
    <xf numFmtId="164" fontId="36" fillId="9" borderId="53" xfId="1" applyNumberFormat="1" applyFont="1" applyFill="1" applyBorder="1" applyAlignment="1">
      <alignment horizontal="right" vertical="center" indent="2"/>
    </xf>
    <xf numFmtId="164" fontId="36" fillId="10" borderId="62" xfId="1" applyNumberFormat="1" applyFont="1" applyFill="1" applyBorder="1" applyAlignment="1">
      <alignment horizontal="right" vertical="center" indent="2"/>
    </xf>
    <xf numFmtId="164" fontId="36" fillId="5" borderId="54" xfId="1" applyNumberFormat="1" applyFont="1" applyFill="1" applyBorder="1" applyAlignment="1">
      <alignment horizontal="right" vertical="center" indent="2"/>
    </xf>
    <xf numFmtId="164" fontId="45" fillId="13" borderId="62" xfId="0" applyNumberFormat="1" applyFont="1" applyFill="1" applyBorder="1" applyAlignment="1">
      <alignment horizontal="right" vertical="center" indent="2"/>
    </xf>
    <xf numFmtId="164" fontId="36" fillId="9" borderId="54" xfId="1" applyNumberFormat="1" applyFont="1" applyFill="1" applyBorder="1" applyAlignment="1">
      <alignment horizontal="right" vertical="center" indent="2"/>
    </xf>
    <xf numFmtId="164" fontId="36" fillId="4" borderId="62" xfId="1" applyNumberFormat="1" applyFont="1" applyFill="1" applyBorder="1" applyAlignment="1">
      <alignment horizontal="right" vertical="center" indent="2"/>
    </xf>
    <xf numFmtId="164" fontId="36" fillId="5" borderId="63" xfId="1" applyNumberFormat="1" applyFont="1" applyFill="1" applyBorder="1" applyAlignment="1">
      <alignment horizontal="right" vertical="center" indent="2"/>
    </xf>
    <xf numFmtId="164" fontId="45" fillId="13" borderId="53" xfId="1" applyNumberFormat="1" applyFont="1" applyFill="1" applyBorder="1" applyAlignment="1">
      <alignment horizontal="right" vertical="center" indent="2"/>
    </xf>
    <xf numFmtId="164" fontId="45" fillId="13" borderId="59" xfId="1" applyNumberFormat="1" applyFont="1" applyFill="1" applyBorder="1" applyAlignment="1">
      <alignment horizontal="right" vertical="center" indent="2"/>
    </xf>
    <xf numFmtId="0" fontId="36" fillId="0" borderId="48" xfId="1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164" fontId="28" fillId="0" borderId="65" xfId="0" applyNumberFormat="1" applyFont="1" applyBorder="1" applyAlignment="1">
      <alignment horizontal="right" vertical="center" indent="2"/>
    </xf>
    <xf numFmtId="164" fontId="28" fillId="0" borderId="69" xfId="0" applyNumberFormat="1" applyFont="1" applyBorder="1" applyAlignment="1">
      <alignment horizontal="right" vertical="center" indent="2"/>
    </xf>
    <xf numFmtId="164" fontId="28" fillId="0" borderId="66" xfId="0" applyNumberFormat="1" applyFont="1" applyBorder="1" applyAlignment="1">
      <alignment horizontal="right" vertical="center" indent="2"/>
    </xf>
    <xf numFmtId="164" fontId="36" fillId="9" borderId="48" xfId="1" applyNumberFormat="1" applyFont="1" applyFill="1" applyBorder="1" applyAlignment="1">
      <alignment horizontal="right" vertical="center" indent="2"/>
    </xf>
    <xf numFmtId="164" fontId="36" fillId="10" borderId="69" xfId="1" applyNumberFormat="1" applyFont="1" applyFill="1" applyBorder="1" applyAlignment="1">
      <alignment horizontal="right" vertical="center" indent="2"/>
    </xf>
    <xf numFmtId="164" fontId="36" fillId="12" borderId="49" xfId="1" applyNumberFormat="1" applyFont="1" applyFill="1" applyBorder="1" applyAlignment="1">
      <alignment horizontal="right" vertical="center" indent="2"/>
    </xf>
    <xf numFmtId="164" fontId="45" fillId="13" borderId="69" xfId="0" applyNumberFormat="1" applyFont="1" applyFill="1" applyBorder="1" applyAlignment="1">
      <alignment horizontal="right" vertical="center" indent="2"/>
    </xf>
    <xf numFmtId="164" fontId="36" fillId="9" borderId="49" xfId="1" applyNumberFormat="1" applyFont="1" applyFill="1" applyBorder="1" applyAlignment="1">
      <alignment horizontal="right" vertical="center" indent="2"/>
    </xf>
    <xf numFmtId="164" fontId="36" fillId="4" borderId="69" xfId="1" applyNumberFormat="1" applyFont="1" applyFill="1" applyBorder="1" applyAlignment="1">
      <alignment horizontal="right" vertical="center" indent="2"/>
    </xf>
    <xf numFmtId="164" fontId="36" fillId="5" borderId="70" xfId="1" applyNumberFormat="1" applyFont="1" applyFill="1" applyBorder="1" applyAlignment="1">
      <alignment horizontal="right" vertical="center" indent="2"/>
    </xf>
    <xf numFmtId="164" fontId="45" fillId="13" borderId="48" xfId="1" applyNumberFormat="1" applyFont="1" applyFill="1" applyBorder="1" applyAlignment="1">
      <alignment horizontal="right" vertical="center" indent="2"/>
    </xf>
    <xf numFmtId="164" fontId="45" fillId="13" borderId="66" xfId="1" applyNumberFormat="1" applyFont="1" applyFill="1" applyBorder="1" applyAlignment="1">
      <alignment horizontal="right" vertical="center" indent="2"/>
    </xf>
    <xf numFmtId="164" fontId="36" fillId="5" borderId="49" xfId="1" applyNumberFormat="1" applyFont="1" applyFill="1" applyBorder="1" applyAlignment="1">
      <alignment horizontal="right" vertical="center" indent="2"/>
    </xf>
    <xf numFmtId="0" fontId="36" fillId="0" borderId="50" xfId="1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164" fontId="28" fillId="0" borderId="72" xfId="0" applyNumberFormat="1" applyFont="1" applyBorder="1" applyAlignment="1">
      <alignment horizontal="right" vertical="center" indent="2"/>
    </xf>
    <xf numFmtId="164" fontId="28" fillId="0" borderId="76" xfId="0" applyNumberFormat="1" applyFont="1" applyBorder="1" applyAlignment="1">
      <alignment horizontal="right" vertical="center" indent="2"/>
    </xf>
    <xf numFmtId="164" fontId="28" fillId="0" borderId="73" xfId="0" applyNumberFormat="1" applyFont="1" applyBorder="1" applyAlignment="1">
      <alignment horizontal="right" vertical="center" indent="2"/>
    </xf>
    <xf numFmtId="164" fontId="36" fillId="9" borderId="50" xfId="1" applyNumberFormat="1" applyFont="1" applyFill="1" applyBorder="1" applyAlignment="1">
      <alignment horizontal="right" vertical="center" indent="2"/>
    </xf>
    <xf numFmtId="164" fontId="36" fillId="4" borderId="76" xfId="1" applyNumberFormat="1" applyFont="1" applyFill="1" applyBorder="1" applyAlignment="1">
      <alignment horizontal="right" vertical="center" indent="2"/>
    </xf>
    <xf numFmtId="164" fontId="36" fillId="5" borderId="51" xfId="1" applyNumberFormat="1" applyFont="1" applyFill="1" applyBorder="1" applyAlignment="1">
      <alignment horizontal="right" vertical="center" indent="2"/>
    </xf>
    <xf numFmtId="164" fontId="45" fillId="13" borderId="76" xfId="0" applyNumberFormat="1" applyFont="1" applyFill="1" applyBorder="1" applyAlignment="1">
      <alignment horizontal="right" vertical="center" indent="2"/>
    </xf>
    <xf numFmtId="164" fontId="36" fillId="9" borderId="51" xfId="1" applyNumberFormat="1" applyFont="1" applyFill="1" applyBorder="1" applyAlignment="1">
      <alignment horizontal="right" vertical="center" indent="2"/>
    </xf>
    <xf numFmtId="164" fontId="36" fillId="5" borderId="77" xfId="1" applyNumberFormat="1" applyFont="1" applyFill="1" applyBorder="1" applyAlignment="1">
      <alignment horizontal="right" vertical="center" indent="2"/>
    </xf>
    <xf numFmtId="164" fontId="45" fillId="13" borderId="50" xfId="1" applyNumberFormat="1" applyFont="1" applyFill="1" applyBorder="1" applyAlignment="1">
      <alignment horizontal="right" vertical="center" indent="2"/>
    </xf>
    <xf numFmtId="164" fontId="45" fillId="13" borderId="73" xfId="1" applyNumberFormat="1" applyFont="1" applyFill="1" applyBorder="1" applyAlignment="1">
      <alignment horizontal="right" vertical="center" indent="2"/>
    </xf>
    <xf numFmtId="0" fontId="36" fillId="0" borderId="46" xfId="1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164" fontId="28" fillId="0" borderId="79" xfId="0" applyNumberFormat="1" applyFont="1" applyBorder="1" applyAlignment="1">
      <alignment horizontal="right" vertical="center" indent="2"/>
    </xf>
    <xf numFmtId="164" fontId="28" fillId="0" borderId="83" xfId="0" applyNumberFormat="1" applyFont="1" applyBorder="1" applyAlignment="1">
      <alignment horizontal="right" vertical="center" indent="2"/>
    </xf>
    <xf numFmtId="164" fontId="28" fillId="0" borderId="80" xfId="0" applyNumberFormat="1" applyFont="1" applyBorder="1" applyAlignment="1">
      <alignment horizontal="right" vertical="center" indent="2"/>
    </xf>
    <xf numFmtId="164" fontId="28" fillId="9" borderId="46" xfId="0" applyNumberFormat="1" applyFont="1" applyFill="1" applyBorder="1" applyAlignment="1">
      <alignment horizontal="right" vertical="center" indent="2"/>
    </xf>
    <xf numFmtId="164" fontId="28" fillId="4" borderId="83" xfId="0" applyNumberFormat="1" applyFont="1" applyFill="1" applyBorder="1" applyAlignment="1">
      <alignment horizontal="right" vertical="center" indent="2"/>
    </xf>
    <xf numFmtId="164" fontId="28" fillId="5" borderId="47" xfId="0" applyNumberFormat="1" applyFont="1" applyFill="1" applyBorder="1" applyAlignment="1">
      <alignment horizontal="right" vertical="center" indent="2"/>
    </xf>
    <xf numFmtId="164" fontId="45" fillId="13" borderId="83" xfId="0" applyNumberFormat="1" applyFont="1" applyFill="1" applyBorder="1" applyAlignment="1">
      <alignment horizontal="right" vertical="center" indent="2"/>
    </xf>
    <xf numFmtId="164" fontId="28" fillId="9" borderId="47" xfId="0" applyNumberFormat="1" applyFont="1" applyFill="1" applyBorder="1" applyAlignment="1">
      <alignment horizontal="right" vertical="center" indent="2"/>
    </xf>
    <xf numFmtId="164" fontId="28" fillId="5" borderId="84" xfId="0" applyNumberFormat="1" applyFont="1" applyFill="1" applyBorder="1" applyAlignment="1">
      <alignment horizontal="right" vertical="center" indent="2"/>
    </xf>
    <xf numFmtId="164" fontId="45" fillId="13" borderId="46" xfId="0" applyNumberFormat="1" applyFont="1" applyFill="1" applyBorder="1" applyAlignment="1">
      <alignment horizontal="right" vertical="center" indent="2"/>
    </xf>
    <xf numFmtId="164" fontId="45" fillId="13" borderId="80" xfId="0" applyNumberFormat="1" applyFont="1" applyFill="1" applyBorder="1" applyAlignment="1">
      <alignment horizontal="right" vertical="center" indent="2"/>
    </xf>
    <xf numFmtId="164" fontId="28" fillId="9" borderId="48" xfId="0" applyNumberFormat="1" applyFont="1" applyFill="1" applyBorder="1" applyAlignment="1">
      <alignment horizontal="right" vertical="center" indent="2"/>
    </xf>
    <xf numFmtId="164" fontId="28" fillId="4" borderId="69" xfId="0" applyNumberFormat="1" applyFont="1" applyFill="1" applyBorder="1" applyAlignment="1">
      <alignment horizontal="right" vertical="center" indent="2"/>
    </xf>
    <xf numFmtId="164" fontId="28" fillId="5" borderId="49" xfId="0" applyNumberFormat="1" applyFont="1" applyFill="1" applyBorder="1" applyAlignment="1">
      <alignment horizontal="right" vertical="center" indent="2"/>
    </xf>
    <xf numFmtId="164" fontId="28" fillId="9" borderId="49" xfId="0" applyNumberFormat="1" applyFont="1" applyFill="1" applyBorder="1" applyAlignment="1">
      <alignment horizontal="right" vertical="center" indent="2"/>
    </xf>
    <xf numFmtId="164" fontId="28" fillId="5" borderId="70" xfId="0" applyNumberFormat="1" applyFont="1" applyFill="1" applyBorder="1" applyAlignment="1">
      <alignment horizontal="right" vertical="center" indent="2"/>
    </xf>
    <xf numFmtId="164" fontId="45" fillId="13" borderId="48" xfId="0" applyNumberFormat="1" applyFont="1" applyFill="1" applyBorder="1" applyAlignment="1">
      <alignment horizontal="right" vertical="center" indent="2"/>
    </xf>
    <xf numFmtId="164" fontId="45" fillId="13" borderId="66" xfId="0" applyNumberFormat="1" applyFont="1" applyFill="1" applyBorder="1" applyAlignment="1">
      <alignment horizontal="right" vertical="center" indent="2"/>
    </xf>
    <xf numFmtId="164" fontId="28" fillId="9" borderId="50" xfId="0" applyNumberFormat="1" applyFont="1" applyFill="1" applyBorder="1" applyAlignment="1">
      <alignment horizontal="right" vertical="center" indent="2"/>
    </xf>
    <xf numFmtId="164" fontId="28" fillId="4" borderId="76" xfId="0" applyNumberFormat="1" applyFont="1" applyFill="1" applyBorder="1" applyAlignment="1">
      <alignment horizontal="right" vertical="center" indent="2"/>
    </xf>
    <xf numFmtId="164" fontId="28" fillId="5" borderId="51" xfId="0" applyNumberFormat="1" applyFont="1" applyFill="1" applyBorder="1" applyAlignment="1">
      <alignment horizontal="right" vertical="center" indent="2"/>
    </xf>
    <xf numFmtId="164" fontId="28" fillId="9" borderId="51" xfId="0" applyNumberFormat="1" applyFont="1" applyFill="1" applyBorder="1" applyAlignment="1">
      <alignment horizontal="right" vertical="center" indent="2"/>
    </xf>
    <xf numFmtId="164" fontId="28" fillId="5" borderId="77" xfId="0" applyNumberFormat="1" applyFont="1" applyFill="1" applyBorder="1" applyAlignment="1">
      <alignment horizontal="right" vertical="center" indent="2"/>
    </xf>
    <xf numFmtId="164" fontId="45" fillId="13" borderId="50" xfId="0" applyNumberFormat="1" applyFont="1" applyFill="1" applyBorder="1" applyAlignment="1">
      <alignment horizontal="right" vertical="center" indent="2"/>
    </xf>
    <xf numFmtId="164" fontId="45" fillId="13" borderId="73" xfId="0" applyNumberFormat="1" applyFont="1" applyFill="1" applyBorder="1" applyAlignment="1">
      <alignment horizontal="right" vertical="center" indent="2"/>
    </xf>
    <xf numFmtId="0" fontId="28" fillId="0" borderId="48" xfId="0" applyFont="1" applyBorder="1" applyAlignment="1">
      <alignment horizontal="center" vertical="center"/>
    </xf>
    <xf numFmtId="0" fontId="28" fillId="0" borderId="50" xfId="0" applyFont="1" applyBorder="1" applyAlignment="1">
      <alignment horizontal="center" vertical="center"/>
    </xf>
    <xf numFmtId="164" fontId="28" fillId="9" borderId="87" xfId="0" applyNumberFormat="1" applyFont="1" applyFill="1" applyBorder="1" applyAlignment="1">
      <alignment horizontal="right" vertical="center" indent="2"/>
    </xf>
    <xf numFmtId="164" fontId="28" fillId="4" borderId="88" xfId="0" applyNumberFormat="1" applyFont="1" applyFill="1" applyBorder="1" applyAlignment="1">
      <alignment horizontal="right" vertical="center" indent="2"/>
    </xf>
    <xf numFmtId="164" fontId="28" fillId="5" borderId="89" xfId="0" applyNumberFormat="1" applyFont="1" applyFill="1" applyBorder="1" applyAlignment="1">
      <alignment horizontal="right" vertical="center" indent="2"/>
    </xf>
    <xf numFmtId="164" fontId="45" fillId="13" borderId="88" xfId="0" applyNumberFormat="1" applyFont="1" applyFill="1" applyBorder="1" applyAlignment="1">
      <alignment horizontal="right" vertical="center" indent="2"/>
    </xf>
    <xf numFmtId="164" fontId="28" fillId="9" borderId="89" xfId="0" applyNumberFormat="1" applyFont="1" applyFill="1" applyBorder="1" applyAlignment="1">
      <alignment horizontal="right" vertical="center" indent="2"/>
    </xf>
    <xf numFmtId="164" fontId="28" fillId="5" borderId="90" xfId="0" applyNumberFormat="1" applyFont="1" applyFill="1" applyBorder="1" applyAlignment="1">
      <alignment horizontal="right" vertical="center" indent="2"/>
    </xf>
    <xf numFmtId="164" fontId="45" fillId="13" borderId="87" xfId="0" applyNumberFormat="1" applyFont="1" applyFill="1" applyBorder="1" applyAlignment="1">
      <alignment horizontal="right" vertical="center" indent="2"/>
    </xf>
    <xf numFmtId="164" fontId="45" fillId="13" borderId="91" xfId="0" applyNumberFormat="1" applyFont="1" applyFill="1" applyBorder="1" applyAlignment="1">
      <alignment horizontal="right" vertical="center" indent="2"/>
    </xf>
    <xf numFmtId="0" fontId="28" fillId="0" borderId="92" xfId="0" applyFont="1" applyBorder="1" applyAlignment="1">
      <alignment vertical="center"/>
    </xf>
    <xf numFmtId="0" fontId="28" fillId="0" borderId="46" xfId="0" applyFont="1" applyBorder="1" applyAlignment="1">
      <alignment horizontal="center" vertical="center"/>
    </xf>
    <xf numFmtId="164" fontId="28" fillId="9" borderId="53" xfId="0" applyNumberFormat="1" applyFont="1" applyFill="1" applyBorder="1" applyAlignment="1">
      <alignment horizontal="right" vertical="center" indent="2"/>
    </xf>
    <xf numFmtId="164" fontId="28" fillId="4" borderId="62" xfId="0" applyNumberFormat="1" applyFont="1" applyFill="1" applyBorder="1" applyAlignment="1">
      <alignment horizontal="right" vertical="center" indent="2"/>
    </xf>
    <xf numFmtId="164" fontId="28" fillId="5" borderId="54" xfId="0" applyNumberFormat="1" applyFont="1" applyFill="1" applyBorder="1" applyAlignment="1">
      <alignment horizontal="right" vertical="center" indent="2"/>
    </xf>
    <xf numFmtId="164" fontId="28" fillId="9" borderId="54" xfId="0" applyNumberFormat="1" applyFont="1" applyFill="1" applyBorder="1" applyAlignment="1">
      <alignment horizontal="right" vertical="center" indent="2"/>
    </xf>
    <xf numFmtId="164" fontId="45" fillId="13" borderId="53" xfId="0" applyNumberFormat="1" applyFont="1" applyFill="1" applyBorder="1" applyAlignment="1">
      <alignment horizontal="right" vertical="center" indent="2"/>
    </xf>
    <xf numFmtId="164" fontId="45" fillId="13" borderId="59" xfId="0" applyNumberFormat="1" applyFont="1" applyFill="1" applyBorder="1" applyAlignment="1">
      <alignment horizontal="right" vertical="center" indent="2"/>
    </xf>
    <xf numFmtId="164" fontId="45" fillId="13" borderId="65" xfId="0" applyNumberFormat="1" applyFont="1" applyFill="1" applyBorder="1" applyAlignment="1">
      <alignment horizontal="right" vertical="center" indent="2"/>
    </xf>
    <xf numFmtId="0" fontId="28" fillId="0" borderId="102" xfId="0" applyFont="1" applyBorder="1" applyAlignment="1">
      <alignment horizontal="center" vertical="center"/>
    </xf>
    <xf numFmtId="0" fontId="28" fillId="0" borderId="103" xfId="0" applyFont="1" applyBorder="1" applyAlignment="1">
      <alignment horizontal="center" vertical="center"/>
    </xf>
    <xf numFmtId="164" fontId="28" fillId="0" borderId="105" xfId="0" applyNumberFormat="1" applyFont="1" applyBorder="1" applyAlignment="1">
      <alignment horizontal="right" vertical="center" indent="2"/>
    </xf>
    <xf numFmtId="164" fontId="28" fillId="0" borderId="109" xfId="0" applyNumberFormat="1" applyFont="1" applyBorder="1" applyAlignment="1">
      <alignment horizontal="right" vertical="center" indent="2"/>
    </xf>
    <xf numFmtId="164" fontId="28" fillId="0" borderId="106" xfId="0" applyNumberFormat="1" applyFont="1" applyBorder="1" applyAlignment="1">
      <alignment horizontal="right" vertical="center" indent="2"/>
    </xf>
    <xf numFmtId="164" fontId="28" fillId="9" borderId="102" xfId="0" applyNumberFormat="1" applyFont="1" applyFill="1" applyBorder="1" applyAlignment="1">
      <alignment horizontal="right" vertical="center" indent="2"/>
    </xf>
    <xf numFmtId="164" fontId="28" fillId="4" borderId="109" xfId="0" applyNumberFormat="1" applyFont="1" applyFill="1" applyBorder="1" applyAlignment="1">
      <alignment horizontal="right" vertical="center" indent="2"/>
    </xf>
    <xf numFmtId="164" fontId="28" fillId="5" borderId="103" xfId="0" applyNumberFormat="1" applyFont="1" applyFill="1" applyBorder="1" applyAlignment="1">
      <alignment horizontal="right" vertical="center" indent="2"/>
    </xf>
    <xf numFmtId="164" fontId="45" fillId="13" borderId="109" xfId="0" applyNumberFormat="1" applyFont="1" applyFill="1" applyBorder="1" applyAlignment="1">
      <alignment horizontal="right" vertical="center" indent="2"/>
    </xf>
    <xf numFmtId="164" fontId="28" fillId="9" borderId="103" xfId="0" applyNumberFormat="1" applyFont="1" applyFill="1" applyBorder="1" applyAlignment="1">
      <alignment horizontal="right" vertical="center" indent="2"/>
    </xf>
    <xf numFmtId="164" fontId="45" fillId="13" borderId="105" xfId="0" applyNumberFormat="1" applyFont="1" applyFill="1" applyBorder="1" applyAlignment="1">
      <alignment horizontal="right" vertical="center" indent="2"/>
    </xf>
    <xf numFmtId="164" fontId="45" fillId="13" borderId="106" xfId="0" applyNumberFormat="1" applyFont="1" applyFill="1" applyBorder="1" applyAlignment="1">
      <alignment horizontal="right" vertical="center" indent="2"/>
    </xf>
    <xf numFmtId="0" fontId="28" fillId="0" borderId="53" xfId="0" applyFont="1" applyBorder="1" applyAlignment="1">
      <alignment horizontal="center" vertical="center"/>
    </xf>
    <xf numFmtId="0" fontId="28" fillId="8" borderId="54" xfId="0" applyFont="1" applyFill="1" applyBorder="1" applyAlignment="1">
      <alignment vertical="center"/>
    </xf>
    <xf numFmtId="0" fontId="28" fillId="8" borderId="54" xfId="0" applyFont="1" applyFill="1" applyBorder="1" applyAlignment="1">
      <alignment horizontal="center" vertical="center"/>
    </xf>
    <xf numFmtId="0" fontId="28" fillId="8" borderId="56" xfId="0" applyFont="1" applyFill="1" applyBorder="1" applyAlignment="1">
      <alignment horizontal="center" vertical="center"/>
    </xf>
    <xf numFmtId="165" fontId="33" fillId="8" borderId="0" xfId="0" applyNumberFormat="1" applyFont="1" applyFill="1" applyAlignment="1">
      <alignment horizontal="center" vertical="center"/>
    </xf>
    <xf numFmtId="165" fontId="33" fillId="6" borderId="12" xfId="0" applyNumberFormat="1" applyFont="1" applyFill="1" applyBorder="1" applyAlignment="1">
      <alignment horizontal="center" vertical="center"/>
    </xf>
    <xf numFmtId="167" fontId="34" fillId="6" borderId="7" xfId="1" applyNumberFormat="1" applyFont="1" applyFill="1" applyBorder="1" applyAlignment="1">
      <alignment horizontal="center" vertical="center"/>
    </xf>
    <xf numFmtId="167" fontId="34" fillId="6" borderId="8" xfId="1" applyNumberFormat="1" applyFont="1" applyFill="1" applyBorder="1" applyAlignment="1">
      <alignment horizontal="center" vertical="center"/>
    </xf>
    <xf numFmtId="167" fontId="34" fillId="6" borderId="34" xfId="1" applyNumberFormat="1" applyFont="1" applyFill="1" applyBorder="1" applyAlignment="1">
      <alignment horizontal="center" vertical="center"/>
    </xf>
    <xf numFmtId="165" fontId="33" fillId="0" borderId="0" xfId="0" applyNumberFormat="1" applyFont="1" applyAlignment="1">
      <alignment horizontal="center" vertical="center"/>
    </xf>
    <xf numFmtId="10" fontId="28" fillId="0" borderId="0" xfId="2" applyNumberFormat="1" applyFont="1" applyAlignment="1">
      <alignment vertical="center"/>
    </xf>
    <xf numFmtId="0" fontId="34" fillId="9" borderId="18" xfId="1" applyFont="1" applyFill="1" applyBorder="1" applyAlignment="1">
      <alignment horizontal="center" vertical="center" wrapText="1"/>
    </xf>
    <xf numFmtId="0" fontId="34" fillId="9" borderId="5" xfId="1" applyFont="1" applyFill="1" applyBorder="1" applyAlignment="1">
      <alignment horizontal="center" vertical="center" wrapText="1"/>
    </xf>
    <xf numFmtId="0" fontId="1" fillId="10" borderId="18" xfId="1" applyFill="1" applyBorder="1" applyAlignment="1">
      <alignment horizontal="center" vertical="center" wrapText="1"/>
    </xf>
    <xf numFmtId="0" fontId="1" fillId="4" borderId="18" xfId="1" applyFill="1" applyBorder="1" applyAlignment="1">
      <alignment horizontal="center" vertical="center" wrapText="1"/>
    </xf>
    <xf numFmtId="0" fontId="28" fillId="0" borderId="111" xfId="0" applyFont="1" applyBorder="1" applyAlignment="1">
      <alignment horizontal="center" vertical="center"/>
    </xf>
    <xf numFmtId="164" fontId="28" fillId="0" borderId="69" xfId="0" applyNumberFormat="1" applyFont="1" applyBorder="1" applyAlignment="1">
      <alignment horizontal="right" vertical="center"/>
    </xf>
    <xf numFmtId="0" fontId="7" fillId="0" borderId="11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7" fillId="0" borderId="19" xfId="1" applyFont="1" applyBorder="1" applyAlignment="1">
      <alignment horizontal="right" vertical="center" wrapText="1"/>
    </xf>
    <xf numFmtId="0" fontId="7" fillId="0" borderId="0" xfId="1" applyFont="1" applyAlignment="1">
      <alignment horizontal="right" vertical="center" wrapText="1"/>
    </xf>
    <xf numFmtId="164" fontId="7" fillId="0" borderId="19" xfId="1" applyNumberFormat="1" applyFont="1" applyBorder="1" applyAlignment="1">
      <alignment horizontal="right" vertical="center" wrapText="1"/>
    </xf>
    <xf numFmtId="164" fontId="28" fillId="0" borderId="0" xfId="0" applyNumberFormat="1" applyFont="1" applyAlignment="1">
      <alignment horizontal="right" vertical="center"/>
    </xf>
    <xf numFmtId="164" fontId="28" fillId="0" borderId="49" xfId="0" applyNumberFormat="1" applyFont="1" applyBorder="1" applyAlignment="1">
      <alignment horizontal="right" vertical="center"/>
    </xf>
    <xf numFmtId="164" fontId="7" fillId="0" borderId="69" xfId="0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0" fontId="29" fillId="8" borderId="23" xfId="0" applyFont="1" applyFill="1" applyBorder="1" applyAlignment="1">
      <alignment vertical="center"/>
    </xf>
    <xf numFmtId="0" fontId="29" fillId="0" borderId="0" xfId="0" applyFont="1" applyAlignment="1">
      <alignment vertical="center"/>
    </xf>
    <xf numFmtId="0" fontId="31" fillId="0" borderId="0" xfId="0" quotePrefix="1" applyFont="1" applyAlignment="1">
      <alignment horizontal="center" vertical="center"/>
    </xf>
    <xf numFmtId="0" fontId="29" fillId="0" borderId="0" xfId="0" applyFont="1" applyAlignment="1">
      <alignment horizontal="left" vertical="center" indent="5"/>
    </xf>
    <xf numFmtId="0" fontId="34" fillId="0" borderId="0" xfId="1" applyFont="1" applyAlignment="1">
      <alignment horizontal="center" vertical="center"/>
    </xf>
    <xf numFmtId="167" fontId="34" fillId="0" borderId="0" xfId="1" applyNumberFormat="1" applyFont="1" applyAlignment="1">
      <alignment horizontal="center" vertical="center"/>
    </xf>
    <xf numFmtId="0" fontId="31" fillId="0" borderId="0" xfId="1" applyFont="1" applyAlignment="1">
      <alignment horizontal="left" vertical="center" indent="5"/>
    </xf>
    <xf numFmtId="0" fontId="31" fillId="0" borderId="0" xfId="1" applyFont="1" applyAlignment="1">
      <alignment vertical="center"/>
    </xf>
    <xf numFmtId="0" fontId="36" fillId="0" borderId="0" xfId="1" applyFont="1" applyAlignment="1">
      <alignment vertical="center"/>
    </xf>
    <xf numFmtId="168" fontId="40" fillId="0" borderId="0" xfId="1" applyNumberFormat="1" applyFont="1" applyAlignment="1">
      <alignment horizontal="right" vertical="center" indent="2"/>
    </xf>
    <xf numFmtId="168" fontId="41" fillId="0" borderId="0" xfId="0" applyNumberFormat="1" applyFont="1" applyAlignment="1">
      <alignment horizontal="right" vertical="center" indent="2"/>
    </xf>
    <xf numFmtId="168" fontId="42" fillId="0" borderId="0" xfId="1" applyNumberFormat="1" applyFont="1" applyAlignment="1">
      <alignment horizontal="right" vertical="center" indent="2"/>
    </xf>
    <xf numFmtId="168" fontId="41" fillId="0" borderId="0" xfId="1" applyNumberFormat="1" applyFont="1" applyAlignment="1">
      <alignment horizontal="right" vertical="center" indent="2"/>
    </xf>
    <xf numFmtId="0" fontId="34" fillId="0" borderId="0" xfId="1" applyFont="1" applyAlignment="1">
      <alignment horizontal="center" vertical="center" wrapText="1"/>
    </xf>
    <xf numFmtId="0" fontId="44" fillId="0" borderId="0" xfId="1" applyFont="1" applyAlignment="1">
      <alignment horizontal="center" vertical="center"/>
    </xf>
    <xf numFmtId="164" fontId="36" fillId="0" borderId="0" xfId="1" applyNumberFormat="1" applyFont="1" applyAlignment="1">
      <alignment horizontal="right" vertical="center" indent="2"/>
    </xf>
    <xf numFmtId="164" fontId="45" fillId="0" borderId="0" xfId="0" applyNumberFormat="1" applyFont="1" applyAlignment="1">
      <alignment horizontal="right" vertical="center" indent="2"/>
    </xf>
    <xf numFmtId="164" fontId="45" fillId="0" borderId="0" xfId="1" applyNumberFormat="1" applyFont="1" applyAlignment="1">
      <alignment horizontal="right" vertical="center" indent="2"/>
    </xf>
    <xf numFmtId="164" fontId="28" fillId="0" borderId="0" xfId="0" applyNumberFormat="1" applyFont="1" applyAlignment="1">
      <alignment horizontal="right" vertical="center" indent="2"/>
    </xf>
    <xf numFmtId="0" fontId="49" fillId="0" borderId="0" xfId="3" applyAlignment="1">
      <alignment vertical="center"/>
    </xf>
    <xf numFmtId="0" fontId="1" fillId="2" borderId="18" xfId="1" applyFill="1" applyBorder="1" applyAlignment="1">
      <alignment horizontal="center" vertical="center" wrapText="1"/>
    </xf>
    <xf numFmtId="0" fontId="15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top"/>
    </xf>
    <xf numFmtId="0" fontId="1" fillId="6" borderId="18" xfId="1" applyFill="1" applyBorder="1" applyAlignment="1">
      <alignment horizontal="center" vertical="center" wrapText="1"/>
    </xf>
    <xf numFmtId="164" fontId="13" fillId="6" borderId="103" xfId="0" applyNumberFormat="1" applyFont="1" applyFill="1" applyBorder="1" applyAlignment="1">
      <alignment horizontal="center" vertical="center" wrapText="1"/>
    </xf>
    <xf numFmtId="164" fontId="13" fillId="2" borderId="103" xfId="0" applyNumberFormat="1" applyFont="1" applyFill="1" applyBorder="1" applyAlignment="1">
      <alignment horizontal="center" vertical="center" wrapText="1"/>
    </xf>
    <xf numFmtId="0" fontId="28" fillId="0" borderId="119" xfId="0" applyFont="1" applyBorder="1" applyAlignment="1">
      <alignment horizontal="center" vertical="center"/>
    </xf>
    <xf numFmtId="164" fontId="28" fillId="8" borderId="0" xfId="0" applyNumberFormat="1" applyFont="1" applyFill="1" applyAlignment="1">
      <alignment horizontal="center" vertical="center" wrapText="1"/>
    </xf>
    <xf numFmtId="164" fontId="15" fillId="0" borderId="0" xfId="0" applyNumberFormat="1" applyFont="1" applyAlignment="1">
      <alignment horizontal="left"/>
    </xf>
    <xf numFmtId="164" fontId="7" fillId="0" borderId="83" xfId="1" applyNumberFormat="1" applyFont="1" applyBorder="1" applyAlignment="1">
      <alignment horizontal="right" vertical="center" wrapText="1"/>
    </xf>
    <xf numFmtId="0" fontId="7" fillId="0" borderId="83" xfId="1" applyFont="1" applyBorder="1" applyAlignment="1">
      <alignment horizontal="right" vertical="center" wrapText="1"/>
    </xf>
    <xf numFmtId="0" fontId="7" fillId="0" borderId="47" xfId="1" applyFont="1" applyBorder="1" applyAlignment="1">
      <alignment horizontal="right" vertical="center" wrapText="1"/>
    </xf>
    <xf numFmtId="0" fontId="7" fillId="0" borderId="17" xfId="1" applyFont="1" applyBorder="1" applyAlignment="1">
      <alignment vertical="center"/>
    </xf>
    <xf numFmtId="0" fontId="7" fillId="0" borderId="19" xfId="1" applyFont="1" applyBorder="1" applyAlignment="1">
      <alignment vertical="center"/>
    </xf>
    <xf numFmtId="0" fontId="7" fillId="0" borderId="36" xfId="1" applyFont="1" applyBorder="1" applyAlignment="1">
      <alignment vertical="center"/>
    </xf>
    <xf numFmtId="164" fontId="28" fillId="0" borderId="65" xfId="0" applyNumberFormat="1" applyFont="1" applyBorder="1" applyAlignment="1">
      <alignment vertical="center"/>
    </xf>
    <xf numFmtId="164" fontId="28" fillId="0" borderId="69" xfId="0" applyNumberFormat="1" applyFont="1" applyBorder="1" applyAlignment="1">
      <alignment vertical="center"/>
    </xf>
    <xf numFmtId="164" fontId="28" fillId="0" borderId="66" xfId="0" applyNumberFormat="1" applyFont="1" applyBorder="1" applyAlignment="1">
      <alignment vertical="center"/>
    </xf>
    <xf numFmtId="164" fontId="7" fillId="0" borderId="69" xfId="0" applyNumberFormat="1" applyFont="1" applyBorder="1" applyAlignment="1">
      <alignment horizontal="right"/>
    </xf>
    <xf numFmtId="164" fontId="7" fillId="0" borderId="49" xfId="0" applyNumberFormat="1" applyFont="1" applyBorder="1" applyAlignment="1">
      <alignment horizontal="right"/>
    </xf>
    <xf numFmtId="164" fontId="28" fillId="0" borderId="65" xfId="0" applyNumberFormat="1" applyFont="1" applyBorder="1"/>
    <xf numFmtId="164" fontId="28" fillId="0" borderId="69" xfId="0" applyNumberFormat="1" applyFont="1" applyBorder="1"/>
    <xf numFmtId="164" fontId="28" fillId="0" borderId="66" xfId="0" applyNumberFormat="1" applyFont="1" applyBorder="1"/>
    <xf numFmtId="164" fontId="28" fillId="0" borderId="49" xfId="0" applyNumberFormat="1" applyFont="1" applyBorder="1"/>
    <xf numFmtId="164" fontId="15" fillId="9" borderId="113" xfId="0" applyNumberFormat="1" applyFont="1" applyFill="1" applyBorder="1" applyAlignment="1">
      <alignment horizontal="right" vertical="center" indent="2"/>
    </xf>
    <xf numFmtId="164" fontId="15" fillId="4" borderId="114" xfId="0" applyNumberFormat="1" applyFont="1" applyFill="1" applyBorder="1" applyAlignment="1">
      <alignment horizontal="right" vertical="center" indent="2"/>
    </xf>
    <xf numFmtId="164" fontId="15" fillId="5" borderId="115" xfId="0" applyNumberFormat="1" applyFont="1" applyFill="1" applyBorder="1" applyAlignment="1">
      <alignment horizontal="right" vertical="center" indent="2"/>
    </xf>
    <xf numFmtId="164" fontId="16" fillId="13" borderId="114" xfId="0" applyNumberFormat="1" applyFont="1" applyFill="1" applyBorder="1" applyAlignment="1">
      <alignment horizontal="right" vertical="center" indent="2"/>
    </xf>
    <xf numFmtId="164" fontId="15" fillId="9" borderId="115" xfId="0" applyNumberFormat="1" applyFont="1" applyFill="1" applyBorder="1" applyAlignment="1">
      <alignment horizontal="right" vertical="center" indent="2"/>
    </xf>
    <xf numFmtId="164" fontId="16" fillId="13" borderId="113" xfId="0" applyNumberFormat="1" applyFont="1" applyFill="1" applyBorder="1" applyAlignment="1">
      <alignment horizontal="right" vertical="center" indent="2"/>
    </xf>
    <xf numFmtId="164" fontId="16" fillId="13" borderId="116" xfId="0" applyNumberFormat="1" applyFont="1" applyFill="1" applyBorder="1" applyAlignment="1">
      <alignment horizontal="right" vertical="center" indent="2"/>
    </xf>
    <xf numFmtId="164" fontId="7" fillId="0" borderId="69" xfId="0" applyNumberFormat="1" applyFont="1" applyBorder="1"/>
    <xf numFmtId="164" fontId="29" fillId="0" borderId="0" xfId="0" applyNumberFormat="1" applyFont="1" applyAlignment="1">
      <alignment horizontal="center" vertical="center" wrapText="1"/>
    </xf>
    <xf numFmtId="164" fontId="52" fillId="0" borderId="69" xfId="0" applyNumberFormat="1" applyFont="1" applyBorder="1" applyAlignment="1">
      <alignment horizontal="right" vertical="center"/>
    </xf>
    <xf numFmtId="164" fontId="53" fillId="0" borderId="49" xfId="0" applyNumberFormat="1" applyFont="1" applyBorder="1"/>
    <xf numFmtId="164" fontId="28" fillId="0" borderId="122" xfId="0" applyNumberFormat="1" applyFont="1" applyBorder="1"/>
    <xf numFmtId="164" fontId="28" fillId="0" borderId="123" xfId="0" applyNumberFormat="1" applyFont="1" applyBorder="1"/>
    <xf numFmtId="164" fontId="28" fillId="0" borderId="124" xfId="0" applyNumberFormat="1" applyFont="1" applyBorder="1"/>
    <xf numFmtId="0" fontId="28" fillId="0" borderId="120" xfId="0" applyFont="1" applyBorder="1" applyAlignment="1">
      <alignment horizontal="center" vertical="center"/>
    </xf>
    <xf numFmtId="0" fontId="1" fillId="5" borderId="18" xfId="1" applyFill="1" applyBorder="1" applyAlignment="1">
      <alignment horizontal="center" vertical="center" wrapText="1"/>
    </xf>
    <xf numFmtId="0" fontId="7" fillId="0" borderId="28" xfId="1" applyFont="1" applyBorder="1" applyAlignment="1">
      <alignment horizontal="right" vertical="center" wrapText="1"/>
    </xf>
    <xf numFmtId="0" fontId="1" fillId="18" borderId="18" xfId="1" applyFill="1" applyBorder="1" applyAlignment="1">
      <alignment horizontal="center" vertical="center" wrapText="1"/>
    </xf>
    <xf numFmtId="0" fontId="1" fillId="19" borderId="18" xfId="1" applyFill="1" applyBorder="1" applyAlignment="1">
      <alignment horizontal="center" vertical="center" wrapText="1"/>
    </xf>
    <xf numFmtId="0" fontId="55" fillId="0" borderId="28" xfId="1" applyFont="1" applyBorder="1" applyAlignment="1">
      <alignment horizontal="right" vertical="center" wrapText="1"/>
    </xf>
    <xf numFmtId="0" fontId="56" fillId="0" borderId="83" xfId="1" applyFont="1" applyBorder="1" applyAlignment="1">
      <alignment horizontal="right" vertical="center" wrapText="1"/>
    </xf>
    <xf numFmtId="164" fontId="57" fillId="0" borderId="76" xfId="0" applyNumberFormat="1" applyFont="1" applyBorder="1"/>
    <xf numFmtId="164" fontId="13" fillId="3" borderId="103" xfId="0" applyNumberFormat="1" applyFont="1" applyFill="1" applyBorder="1" applyAlignment="1">
      <alignment horizontal="center" vertical="center" wrapText="1"/>
    </xf>
    <xf numFmtId="0" fontId="1" fillId="22" borderId="18" xfId="1" applyFill="1" applyBorder="1" applyAlignment="1">
      <alignment horizontal="center" vertical="center" wrapText="1"/>
    </xf>
    <xf numFmtId="0" fontId="1" fillId="23" borderId="18" xfId="1" applyFill="1" applyBorder="1" applyAlignment="1">
      <alignment horizontal="center" vertical="center" wrapText="1"/>
    </xf>
    <xf numFmtId="0" fontId="58" fillId="0" borderId="125" xfId="1" applyFont="1" applyBorder="1" applyAlignment="1">
      <alignment horizontal="center" vertical="center" wrapText="1"/>
    </xf>
    <xf numFmtId="0" fontId="59" fillId="20" borderId="18" xfId="1" applyFont="1" applyFill="1" applyBorder="1" applyAlignment="1">
      <alignment horizontal="center" vertical="center" wrapText="1"/>
    </xf>
    <xf numFmtId="164" fontId="60" fillId="0" borderId="49" xfId="0" applyNumberFormat="1" applyFont="1" applyBorder="1" applyAlignment="1">
      <alignment horizontal="right" vertical="center"/>
    </xf>
    <xf numFmtId="164" fontId="15" fillId="0" borderId="69" xfId="0" applyNumberFormat="1" applyFont="1" applyBorder="1" applyAlignment="1">
      <alignment horizontal="right" vertical="center"/>
    </xf>
    <xf numFmtId="164" fontId="15" fillId="0" borderId="69" xfId="0" applyNumberFormat="1" applyFont="1" applyBorder="1" applyAlignment="1">
      <alignment horizontal="right"/>
    </xf>
    <xf numFmtId="164" fontId="15" fillId="0" borderId="49" xfId="0" applyNumberFormat="1" applyFont="1" applyBorder="1" applyAlignment="1">
      <alignment horizontal="right"/>
    </xf>
    <xf numFmtId="164" fontId="15" fillId="0" borderId="66" xfId="0" applyNumberFormat="1" applyFont="1" applyBorder="1" applyAlignment="1">
      <alignment horizontal="right"/>
    </xf>
    <xf numFmtId="164" fontId="15" fillId="0" borderId="65" xfId="0" applyNumberFormat="1" applyFont="1" applyBorder="1" applyAlignment="1">
      <alignment horizontal="right"/>
    </xf>
    <xf numFmtId="164" fontId="28" fillId="0" borderId="69" xfId="0" applyNumberFormat="1" applyFont="1" applyBorder="1" applyAlignment="1">
      <alignment horizontal="right"/>
    </xf>
    <xf numFmtId="164" fontId="28" fillId="0" borderId="65" xfId="0" applyNumberFormat="1" applyFont="1" applyBorder="1" applyAlignment="1">
      <alignment horizontal="right"/>
    </xf>
    <xf numFmtId="164" fontId="28" fillId="0" borderId="66" xfId="0" applyNumberFormat="1" applyFont="1" applyBorder="1" applyAlignment="1">
      <alignment horizontal="right"/>
    </xf>
    <xf numFmtId="164" fontId="28" fillId="0" borderId="122" xfId="0" applyNumberFormat="1" applyFont="1" applyBorder="1" applyAlignment="1">
      <alignment horizontal="right"/>
    </xf>
    <xf numFmtId="164" fontId="28" fillId="0" borderId="123" xfId="0" applyNumberFormat="1" applyFont="1" applyBorder="1" applyAlignment="1">
      <alignment horizontal="right"/>
    </xf>
    <xf numFmtId="164" fontId="28" fillId="0" borderId="124" xfId="0" applyNumberFormat="1" applyFont="1" applyBorder="1" applyAlignment="1">
      <alignment horizontal="right"/>
    </xf>
    <xf numFmtId="164" fontId="7" fillId="0" borderId="19" xfId="0" applyNumberFormat="1" applyFont="1" applyBorder="1"/>
    <xf numFmtId="169" fontId="61" fillId="0" borderId="126" xfId="0" applyNumberFormat="1" applyFont="1" applyBorder="1" applyAlignment="1">
      <alignment horizontal="center" vertical="center"/>
    </xf>
    <xf numFmtId="169" fontId="61" fillId="0" borderId="125" xfId="0" applyNumberFormat="1" applyFont="1" applyBorder="1" applyAlignment="1">
      <alignment horizontal="center" vertical="center"/>
    </xf>
    <xf numFmtId="0" fontId="65" fillId="0" borderId="125" xfId="1" applyFont="1" applyBorder="1" applyAlignment="1">
      <alignment horizontal="center" vertical="center" wrapText="1"/>
    </xf>
    <xf numFmtId="169" fontId="17" fillId="0" borderId="52" xfId="0" applyNumberFormat="1" applyFont="1" applyBorder="1" applyAlignment="1">
      <alignment horizontal="center" vertical="center"/>
    </xf>
    <xf numFmtId="169" fontId="17" fillId="0" borderId="127" xfId="0" applyNumberFormat="1" applyFont="1" applyBorder="1" applyAlignment="1">
      <alignment horizontal="center" vertical="center"/>
    </xf>
    <xf numFmtId="169" fontId="17" fillId="0" borderId="128" xfId="0" applyNumberFormat="1" applyFont="1" applyBorder="1" applyAlignment="1">
      <alignment horizontal="center" vertical="center"/>
    </xf>
    <xf numFmtId="164" fontId="28" fillId="0" borderId="58" xfId="0" applyNumberFormat="1" applyFont="1" applyBorder="1" applyAlignment="1">
      <alignment horizontal="center" vertical="center"/>
    </xf>
    <xf numFmtId="164" fontId="28" fillId="0" borderId="62" xfId="0" applyNumberFormat="1" applyFont="1" applyBorder="1" applyAlignment="1">
      <alignment horizontal="center" vertical="center"/>
    </xf>
    <xf numFmtId="164" fontId="28" fillId="0" borderId="59" xfId="0" applyNumberFormat="1" applyFont="1" applyBorder="1" applyAlignment="1">
      <alignment horizontal="center" vertical="center"/>
    </xf>
    <xf numFmtId="164" fontId="15" fillId="0" borderId="49" xfId="0" applyNumberFormat="1" applyFont="1" applyBorder="1" applyAlignment="1">
      <alignment horizontal="right" vertical="center"/>
    </xf>
    <xf numFmtId="164" fontId="28" fillId="0" borderId="65" xfId="0" applyNumberFormat="1" applyFont="1" applyBorder="1" applyAlignment="1">
      <alignment horizontal="center" vertical="center"/>
    </xf>
    <xf numFmtId="164" fontId="28" fillId="0" borderId="69" xfId="0" applyNumberFormat="1" applyFont="1" applyBorder="1" applyAlignment="1">
      <alignment horizontal="center" vertical="center"/>
    </xf>
    <xf numFmtId="164" fontId="28" fillId="0" borderId="66" xfId="0" applyNumberFormat="1" applyFont="1" applyBorder="1" applyAlignment="1">
      <alignment horizontal="center" vertical="center"/>
    </xf>
    <xf numFmtId="164" fontId="28" fillId="0" borderId="65" xfId="0" applyNumberFormat="1" applyFont="1" applyBorder="1" applyAlignment="1">
      <alignment horizontal="center"/>
    </xf>
    <xf numFmtId="164" fontId="28" fillId="0" borderId="69" xfId="0" applyNumberFormat="1" applyFont="1" applyBorder="1" applyAlignment="1">
      <alignment horizontal="center"/>
    </xf>
    <xf numFmtId="164" fontId="28" fillId="0" borderId="66" xfId="0" applyNumberFormat="1" applyFont="1" applyBorder="1" applyAlignment="1">
      <alignment horizontal="center"/>
    </xf>
    <xf numFmtId="164" fontId="15" fillId="0" borderId="65" xfId="0" applyNumberFormat="1" applyFont="1" applyBorder="1" applyAlignment="1">
      <alignment horizontal="center"/>
    </xf>
    <xf numFmtId="164" fontId="15" fillId="0" borderId="69" xfId="0" applyNumberFormat="1" applyFont="1" applyBorder="1" applyAlignment="1">
      <alignment horizontal="center"/>
    </xf>
    <xf numFmtId="164" fontId="15" fillId="0" borderId="66" xfId="0" applyNumberFormat="1" applyFont="1" applyBorder="1" applyAlignment="1">
      <alignment horizontal="center"/>
    </xf>
    <xf numFmtId="164" fontId="32" fillId="0" borderId="119" xfId="0" applyNumberFormat="1" applyFont="1" applyBorder="1" applyAlignment="1">
      <alignment horizontal="center" vertical="center" wrapText="1"/>
    </xf>
    <xf numFmtId="164" fontId="32" fillId="0" borderId="120" xfId="0" applyNumberFormat="1" applyFont="1" applyBorder="1" applyAlignment="1">
      <alignment horizontal="center" vertical="center" wrapText="1"/>
    </xf>
    <xf numFmtId="164" fontId="32" fillId="0" borderId="121" xfId="0" applyNumberFormat="1" applyFont="1" applyBorder="1" applyAlignment="1">
      <alignment horizontal="center" vertical="center" wrapText="1"/>
    </xf>
    <xf numFmtId="164" fontId="29" fillId="0" borderId="102" xfId="0" applyNumberFormat="1" applyFont="1" applyBorder="1" applyAlignment="1">
      <alignment horizontal="center" vertical="center" wrapText="1"/>
    </xf>
    <xf numFmtId="164" fontId="29" fillId="0" borderId="103" xfId="0" applyNumberFormat="1" applyFont="1" applyBorder="1" applyAlignment="1">
      <alignment horizontal="center" vertical="center" wrapText="1"/>
    </xf>
    <xf numFmtId="164" fontId="29" fillId="0" borderId="104" xfId="0" applyNumberFormat="1" applyFont="1" applyBorder="1" applyAlignment="1">
      <alignment horizontal="center" vertical="center" wrapText="1"/>
    </xf>
    <xf numFmtId="0" fontId="18" fillId="8" borderId="119" xfId="1" applyFont="1" applyFill="1" applyBorder="1" applyAlignment="1">
      <alignment horizontal="center" vertical="center" wrapText="1"/>
    </xf>
    <xf numFmtId="0" fontId="0" fillId="0" borderId="121" xfId="0" applyBorder="1" applyAlignment="1">
      <alignment horizontal="center" vertical="center" wrapText="1"/>
    </xf>
    <xf numFmtId="0" fontId="66" fillId="0" borderId="10" xfId="0" applyFont="1" applyBorder="1" applyAlignment="1">
      <alignment horizontal="center" vertical="center" wrapText="1"/>
    </xf>
    <xf numFmtId="0" fontId="66" fillId="0" borderId="2" xfId="0" applyFont="1" applyBorder="1" applyAlignment="1">
      <alignment horizontal="center" vertical="center"/>
    </xf>
    <xf numFmtId="0" fontId="66" fillId="0" borderId="12" xfId="0" applyFont="1" applyBorder="1" applyAlignment="1">
      <alignment horizontal="center" vertical="center"/>
    </xf>
    <xf numFmtId="0" fontId="66" fillId="0" borderId="4" xfId="0" applyFont="1" applyBorder="1" applyAlignment="1">
      <alignment horizontal="center" vertical="center"/>
    </xf>
    <xf numFmtId="164" fontId="48" fillId="17" borderId="119" xfId="0" applyNumberFormat="1" applyFont="1" applyFill="1" applyBorder="1" applyAlignment="1">
      <alignment horizontal="center" vertical="center" wrapText="1"/>
    </xf>
    <xf numFmtId="164" fontId="48" fillId="17" borderId="120" xfId="0" applyNumberFormat="1" applyFont="1" applyFill="1" applyBorder="1" applyAlignment="1">
      <alignment horizontal="center" vertical="center" wrapText="1"/>
    </xf>
    <xf numFmtId="164" fontId="48" fillId="17" borderId="121" xfId="0" applyNumberFormat="1" applyFont="1" applyFill="1" applyBorder="1" applyAlignment="1">
      <alignment horizontal="center" vertical="center" wrapText="1"/>
    </xf>
    <xf numFmtId="164" fontId="11" fillId="17" borderId="102" xfId="0" applyNumberFormat="1" applyFont="1" applyFill="1" applyBorder="1" applyAlignment="1">
      <alignment horizontal="center" vertical="center" wrapText="1"/>
    </xf>
    <xf numFmtId="164" fontId="29" fillId="17" borderId="103" xfId="0" applyNumberFormat="1" applyFont="1" applyFill="1" applyBorder="1" applyAlignment="1">
      <alignment horizontal="center" vertical="center" wrapText="1"/>
    </xf>
    <xf numFmtId="164" fontId="29" fillId="17" borderId="104" xfId="0" applyNumberFormat="1" applyFont="1" applyFill="1" applyBorder="1" applyAlignment="1">
      <alignment horizontal="center" vertical="center" wrapText="1"/>
    </xf>
    <xf numFmtId="0" fontId="34" fillId="8" borderId="10" xfId="1" applyFont="1" applyFill="1" applyBorder="1" applyAlignment="1">
      <alignment horizontal="center" vertical="center"/>
    </xf>
    <xf numFmtId="0" fontId="34" fillId="8" borderId="12" xfId="1" applyFont="1" applyFill="1" applyBorder="1" applyAlignment="1">
      <alignment horizontal="center" vertical="center"/>
    </xf>
    <xf numFmtId="0" fontId="34" fillId="8" borderId="2" xfId="1" applyFont="1" applyFill="1" applyBorder="1" applyAlignment="1">
      <alignment horizontal="center" vertical="center"/>
    </xf>
    <xf numFmtId="0" fontId="34" fillId="8" borderId="4" xfId="1" applyFont="1" applyFill="1" applyBorder="1" applyAlignment="1">
      <alignment horizontal="center" vertical="center"/>
    </xf>
    <xf numFmtId="0" fontId="34" fillId="0" borderId="16" xfId="1" applyFont="1" applyBorder="1" applyAlignment="1">
      <alignment horizontal="center" vertical="center"/>
    </xf>
    <xf numFmtId="0" fontId="34" fillId="0" borderId="6" xfId="1" applyFont="1" applyBorder="1" applyAlignment="1">
      <alignment horizontal="center" vertical="center"/>
    </xf>
    <xf numFmtId="0" fontId="34" fillId="0" borderId="18" xfId="1" applyFont="1" applyBorder="1" applyAlignment="1">
      <alignment horizontal="center" vertical="center"/>
    </xf>
    <xf numFmtId="0" fontId="34" fillId="0" borderId="5" xfId="1" applyFont="1" applyBorder="1" applyAlignment="1">
      <alignment horizontal="center" vertical="center"/>
    </xf>
    <xf numFmtId="0" fontId="34" fillId="0" borderId="35" xfId="1" applyFont="1" applyBorder="1" applyAlignment="1">
      <alignment horizontal="center" vertical="center"/>
    </xf>
    <xf numFmtId="0" fontId="34" fillId="0" borderId="32" xfId="1" applyFont="1" applyBorder="1" applyAlignment="1">
      <alignment horizontal="center" vertical="center"/>
    </xf>
    <xf numFmtId="0" fontId="47" fillId="0" borderId="10" xfId="0" applyFont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0" fontId="51" fillId="0" borderId="10" xfId="0" applyFont="1" applyBorder="1" applyAlignment="1">
      <alignment horizontal="center" vertical="center" wrapText="1"/>
    </xf>
    <xf numFmtId="164" fontId="48" fillId="16" borderId="119" xfId="0" applyNumberFormat="1" applyFont="1" applyFill="1" applyBorder="1" applyAlignment="1">
      <alignment horizontal="center" vertical="center" wrapText="1"/>
    </xf>
    <xf numFmtId="164" fontId="48" fillId="16" borderId="120" xfId="0" applyNumberFormat="1" applyFont="1" applyFill="1" applyBorder="1" applyAlignment="1">
      <alignment horizontal="center" vertical="center" wrapText="1"/>
    </xf>
    <xf numFmtId="164" fontId="48" fillId="16" borderId="121" xfId="0" applyNumberFormat="1" applyFont="1" applyFill="1" applyBorder="1" applyAlignment="1">
      <alignment horizontal="center" vertical="center" wrapText="1"/>
    </xf>
    <xf numFmtId="164" fontId="11" fillId="16" borderId="102" xfId="0" applyNumberFormat="1" applyFont="1" applyFill="1" applyBorder="1" applyAlignment="1">
      <alignment horizontal="center" vertical="center" wrapText="1"/>
    </xf>
    <xf numFmtId="164" fontId="29" fillId="16" borderId="103" xfId="0" applyNumberFormat="1" applyFont="1" applyFill="1" applyBorder="1" applyAlignment="1">
      <alignment horizontal="center" vertical="center" wrapText="1"/>
    </xf>
    <xf numFmtId="164" fontId="29" fillId="16" borderId="104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50" fillId="13" borderId="24" xfId="0" applyFont="1" applyFill="1" applyBorder="1" applyAlignment="1">
      <alignment horizontal="center" vertical="center" wrapText="1"/>
    </xf>
    <xf numFmtId="0" fontId="50" fillId="13" borderId="2" xfId="0" applyFont="1" applyFill="1" applyBorder="1" applyAlignment="1">
      <alignment horizontal="center" vertical="center" wrapText="1"/>
    </xf>
    <xf numFmtId="0" fontId="50" fillId="13" borderId="23" xfId="0" applyFont="1" applyFill="1" applyBorder="1" applyAlignment="1">
      <alignment horizontal="center" vertical="center" wrapText="1"/>
    </xf>
    <xf numFmtId="0" fontId="50" fillId="13" borderId="4" xfId="0" applyFont="1" applyFill="1" applyBorder="1" applyAlignment="1">
      <alignment horizontal="center" vertical="center" wrapText="1"/>
    </xf>
    <xf numFmtId="0" fontId="29" fillId="8" borderId="0" xfId="0" applyFont="1" applyFill="1" applyAlignment="1">
      <alignment horizontal="right" vertical="center" wrapText="1" indent="1"/>
    </xf>
    <xf numFmtId="0" fontId="43" fillId="0" borderId="1" xfId="1" applyFont="1" applyBorder="1" applyAlignment="1">
      <alignment horizontal="right" vertical="center" indent="1"/>
    </xf>
    <xf numFmtId="0" fontId="43" fillId="0" borderId="7" xfId="1" applyFont="1" applyBorder="1" applyAlignment="1">
      <alignment horizontal="right" vertical="center" indent="1"/>
    </xf>
    <xf numFmtId="0" fontId="34" fillId="0" borderId="0" xfId="1" applyFont="1" applyAlignment="1">
      <alignment horizontal="center" vertical="center" wrapText="1"/>
    </xf>
    <xf numFmtId="0" fontId="35" fillId="8" borderId="0" xfId="0" applyFont="1" applyFill="1" applyAlignment="1">
      <alignment horizontal="left" wrapText="1"/>
    </xf>
    <xf numFmtId="0" fontId="46" fillId="0" borderId="10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164" fontId="32" fillId="13" borderId="53" xfId="0" applyNumberFormat="1" applyFont="1" applyFill="1" applyBorder="1" applyAlignment="1">
      <alignment horizontal="center" vertical="center" wrapText="1"/>
    </xf>
    <xf numFmtId="164" fontId="32" fillId="13" borderId="54" xfId="0" applyNumberFormat="1" applyFont="1" applyFill="1" applyBorder="1" applyAlignment="1">
      <alignment horizontal="center" vertical="center" wrapText="1"/>
    </xf>
    <xf numFmtId="164" fontId="32" fillId="13" borderId="63" xfId="0" applyNumberFormat="1" applyFont="1" applyFill="1" applyBorder="1" applyAlignment="1">
      <alignment horizontal="center" vertical="center" wrapText="1"/>
    </xf>
    <xf numFmtId="164" fontId="32" fillId="0" borderId="0" xfId="0" applyNumberFormat="1" applyFont="1" applyAlignment="1">
      <alignment horizontal="center" vertical="center"/>
    </xf>
    <xf numFmtId="164" fontId="29" fillId="13" borderId="102" xfId="0" applyNumberFormat="1" applyFont="1" applyFill="1" applyBorder="1" applyAlignment="1">
      <alignment horizontal="center" vertical="center" wrapText="1"/>
    </xf>
    <xf numFmtId="164" fontId="29" fillId="13" borderId="103" xfId="0" applyNumberFormat="1" applyFont="1" applyFill="1" applyBorder="1" applyAlignment="1">
      <alignment horizontal="center" vertical="center" wrapText="1"/>
    </xf>
    <xf numFmtId="164" fontId="29" fillId="13" borderId="104" xfId="0" applyNumberFormat="1" applyFont="1" applyFill="1" applyBorder="1" applyAlignment="1">
      <alignment horizontal="center" vertical="center" wrapText="1"/>
    </xf>
    <xf numFmtId="164" fontId="29" fillId="0" borderId="0" xfId="0" applyNumberFormat="1" applyFont="1" applyAlignment="1">
      <alignment horizontal="center" vertical="center"/>
    </xf>
    <xf numFmtId="0" fontId="44" fillId="0" borderId="0" xfId="1" applyFont="1" applyAlignment="1">
      <alignment horizontal="center" vertical="center"/>
    </xf>
    <xf numFmtId="0" fontId="44" fillId="0" borderId="0" xfId="1" applyFont="1" applyAlignment="1">
      <alignment horizontal="center" vertical="center" wrapText="1"/>
    </xf>
    <xf numFmtId="164" fontId="32" fillId="0" borderId="53" xfId="0" applyNumberFormat="1" applyFont="1" applyBorder="1" applyAlignment="1">
      <alignment horizontal="center" vertical="center" wrapText="1"/>
    </xf>
    <xf numFmtId="164" fontId="32" fillId="0" borderId="54" xfId="0" applyNumberFormat="1" applyFont="1" applyBorder="1" applyAlignment="1">
      <alignment horizontal="center" vertical="center" wrapText="1"/>
    </xf>
    <xf numFmtId="164" fontId="32" fillId="0" borderId="63" xfId="0" applyNumberFormat="1" applyFont="1" applyBorder="1" applyAlignment="1">
      <alignment horizontal="center" vertical="center" wrapText="1"/>
    </xf>
    <xf numFmtId="164" fontId="48" fillId="6" borderId="119" xfId="0" applyNumberFormat="1" applyFont="1" applyFill="1" applyBorder="1" applyAlignment="1">
      <alignment horizontal="center" vertical="center" wrapText="1"/>
    </xf>
    <xf numFmtId="164" fontId="48" fillId="6" borderId="120" xfId="0" applyNumberFormat="1" applyFont="1" applyFill="1" applyBorder="1" applyAlignment="1">
      <alignment horizontal="center" vertical="center" wrapText="1"/>
    </xf>
    <xf numFmtId="164" fontId="48" fillId="6" borderId="121" xfId="0" applyNumberFormat="1" applyFont="1" applyFill="1" applyBorder="1" applyAlignment="1">
      <alignment horizontal="center" vertical="center" wrapText="1"/>
    </xf>
    <xf numFmtId="164" fontId="11" fillId="6" borderId="102" xfId="0" applyNumberFormat="1" applyFont="1" applyFill="1" applyBorder="1" applyAlignment="1">
      <alignment horizontal="center" vertical="center" wrapText="1"/>
    </xf>
    <xf numFmtId="164" fontId="29" fillId="6" borderId="103" xfId="0" applyNumberFormat="1" applyFont="1" applyFill="1" applyBorder="1" applyAlignment="1">
      <alignment horizontal="center" vertical="center" wrapText="1"/>
    </xf>
    <xf numFmtId="164" fontId="29" fillId="6" borderId="104" xfId="0" applyNumberFormat="1" applyFont="1" applyFill="1" applyBorder="1" applyAlignment="1">
      <alignment horizontal="center" vertical="center" wrapText="1"/>
    </xf>
    <xf numFmtId="0" fontId="54" fillId="0" borderId="10" xfId="0" applyFont="1" applyBorder="1" applyAlignment="1">
      <alignment horizontal="center" vertical="center" wrapText="1"/>
    </xf>
    <xf numFmtId="0" fontId="54" fillId="0" borderId="2" xfId="0" applyFont="1" applyBorder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0" fontId="54" fillId="0" borderId="4" xfId="0" applyFont="1" applyBorder="1" applyAlignment="1">
      <alignment horizontal="center" vertical="center"/>
    </xf>
    <xf numFmtId="164" fontId="11" fillId="21" borderId="103" xfId="0" applyNumberFormat="1" applyFont="1" applyFill="1" applyBorder="1" applyAlignment="1">
      <alignment horizontal="center" vertical="center"/>
    </xf>
    <xf numFmtId="164" fontId="29" fillId="21" borderId="103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64" fillId="0" borderId="12" xfId="0" applyFont="1" applyBorder="1" applyAlignment="1">
      <alignment horizontal="center" vertical="center" wrapText="1"/>
    </xf>
    <xf numFmtId="0" fontId="63" fillId="0" borderId="4" xfId="0" applyFont="1" applyBorder="1" applyAlignment="1">
      <alignment horizontal="center" vertical="center" wrapText="1"/>
    </xf>
    <xf numFmtId="164" fontId="17" fillId="13" borderId="53" xfId="0" applyNumberFormat="1" applyFont="1" applyFill="1" applyBorder="1" applyAlignment="1">
      <alignment horizontal="center" vertical="center" wrapText="1"/>
    </xf>
    <xf numFmtId="164" fontId="11" fillId="15" borderId="103" xfId="0" applyNumberFormat="1" applyFont="1" applyFill="1" applyBorder="1" applyAlignment="1">
      <alignment horizontal="center" vertical="center"/>
    </xf>
    <xf numFmtId="164" fontId="29" fillId="15" borderId="103" xfId="0" applyNumberFormat="1" applyFont="1" applyFill="1" applyBorder="1" applyAlignment="1">
      <alignment horizontal="center" vertical="center"/>
    </xf>
    <xf numFmtId="0" fontId="32" fillId="13" borderId="95" xfId="0" applyFont="1" applyFill="1" applyBorder="1" applyAlignment="1">
      <alignment horizontal="center" vertical="center" wrapText="1"/>
    </xf>
    <xf numFmtId="0" fontId="32" fillId="13" borderId="24" xfId="0" applyFont="1" applyFill="1" applyBorder="1" applyAlignment="1">
      <alignment horizontal="center" vertical="center" wrapText="1"/>
    </xf>
    <xf numFmtId="0" fontId="32" fillId="13" borderId="2" xfId="0" applyFont="1" applyFill="1" applyBorder="1" applyAlignment="1">
      <alignment horizontal="center" vertical="center" wrapText="1"/>
    </xf>
    <xf numFmtId="0" fontId="32" fillId="13" borderId="96" xfId="0" applyFont="1" applyFill="1" applyBorder="1" applyAlignment="1">
      <alignment horizontal="center" vertical="center" wrapText="1"/>
    </xf>
    <xf numFmtId="0" fontId="32" fillId="13" borderId="23" xfId="0" applyFont="1" applyFill="1" applyBorder="1" applyAlignment="1">
      <alignment horizontal="center" vertical="center" wrapText="1"/>
    </xf>
    <xf numFmtId="0" fontId="32" fillId="13" borderId="4" xfId="0" applyFont="1" applyFill="1" applyBorder="1" applyAlignment="1">
      <alignment horizontal="center" vertical="center" wrapText="1"/>
    </xf>
    <xf numFmtId="0" fontId="34" fillId="8" borderId="97" xfId="1" applyFont="1" applyFill="1" applyBorder="1" applyAlignment="1">
      <alignment horizontal="center" vertical="center" wrapText="1"/>
    </xf>
    <xf numFmtId="0" fontId="34" fillId="8" borderId="98" xfId="1" applyFont="1" applyFill="1" applyBorder="1" applyAlignment="1">
      <alignment horizontal="center" vertical="center" wrapText="1"/>
    </xf>
    <xf numFmtId="0" fontId="34" fillId="8" borderId="99" xfId="1" applyFont="1" applyFill="1" applyBorder="1" applyAlignment="1">
      <alignment horizontal="center" vertical="center" wrapText="1"/>
    </xf>
    <xf numFmtId="164" fontId="32" fillId="13" borderId="53" xfId="0" applyNumberFormat="1" applyFont="1" applyFill="1" applyBorder="1" applyAlignment="1">
      <alignment horizontal="center" vertical="center"/>
    </xf>
    <xf numFmtId="164" fontId="32" fillId="13" borderId="54" xfId="0" applyNumberFormat="1" applyFont="1" applyFill="1" applyBorder="1" applyAlignment="1">
      <alignment horizontal="center" vertical="center"/>
    </xf>
    <xf numFmtId="164" fontId="32" fillId="13" borderId="63" xfId="0" applyNumberFormat="1" applyFont="1" applyFill="1" applyBorder="1" applyAlignment="1">
      <alignment horizontal="center" vertical="center"/>
    </xf>
    <xf numFmtId="164" fontId="29" fillId="13" borderId="102" xfId="0" applyNumberFormat="1" applyFont="1" applyFill="1" applyBorder="1" applyAlignment="1">
      <alignment horizontal="center" vertical="center"/>
    </xf>
    <xf numFmtId="164" fontId="29" fillId="13" borderId="103" xfId="0" applyNumberFormat="1" applyFont="1" applyFill="1" applyBorder="1" applyAlignment="1">
      <alignment horizontal="center" vertical="center"/>
    </xf>
    <xf numFmtId="164" fontId="29" fillId="13" borderId="104" xfId="0" applyNumberFormat="1" applyFont="1" applyFill="1" applyBorder="1" applyAlignment="1">
      <alignment horizontal="center" vertical="center"/>
    </xf>
    <xf numFmtId="0" fontId="44" fillId="13" borderId="1" xfId="1" applyFont="1" applyFill="1" applyBorder="1" applyAlignment="1">
      <alignment horizontal="center" vertical="center"/>
    </xf>
    <xf numFmtId="0" fontId="44" fillId="13" borderId="7" xfId="1" applyFont="1" applyFill="1" applyBorder="1" applyAlignment="1">
      <alignment horizontal="center" vertical="center"/>
    </xf>
    <xf numFmtId="0" fontId="34" fillId="10" borderId="18" xfId="1" applyFont="1" applyFill="1" applyBorder="1" applyAlignment="1">
      <alignment horizontal="center" vertical="center" wrapText="1"/>
    </xf>
    <xf numFmtId="0" fontId="34" fillId="10" borderId="5" xfId="1" applyFont="1" applyFill="1" applyBorder="1" applyAlignment="1">
      <alignment horizontal="center" vertical="center" wrapText="1"/>
    </xf>
    <xf numFmtId="0" fontId="34" fillId="5" borderId="18" xfId="1" applyFont="1" applyFill="1" applyBorder="1" applyAlignment="1">
      <alignment horizontal="center" vertical="center" wrapText="1"/>
    </xf>
    <xf numFmtId="0" fontId="34" fillId="5" borderId="5" xfId="1" applyFont="1" applyFill="1" applyBorder="1" applyAlignment="1">
      <alignment horizontal="center" vertical="center" wrapText="1"/>
    </xf>
    <xf numFmtId="0" fontId="44" fillId="13" borderId="18" xfId="1" applyFont="1" applyFill="1" applyBorder="1" applyAlignment="1">
      <alignment horizontal="center" vertical="center" wrapText="1"/>
    </xf>
    <xf numFmtId="0" fontId="44" fillId="13" borderId="5" xfId="1" applyFont="1" applyFill="1" applyBorder="1" applyAlignment="1">
      <alignment horizontal="center" vertical="center" wrapText="1"/>
    </xf>
    <xf numFmtId="0" fontId="34" fillId="9" borderId="18" xfId="1" applyFont="1" applyFill="1" applyBorder="1" applyAlignment="1">
      <alignment horizontal="center" vertical="center" wrapText="1"/>
    </xf>
    <xf numFmtId="0" fontId="34" fillId="9" borderId="5" xfId="1" applyFont="1" applyFill="1" applyBorder="1" applyAlignment="1">
      <alignment horizontal="center" vertical="center" wrapText="1"/>
    </xf>
    <xf numFmtId="0" fontId="34" fillId="4" borderId="18" xfId="1" applyFont="1" applyFill="1" applyBorder="1" applyAlignment="1">
      <alignment horizontal="center" vertical="center" wrapText="1"/>
    </xf>
    <xf numFmtId="0" fontId="34" fillId="4" borderId="5" xfId="1" applyFont="1" applyFill="1" applyBorder="1" applyAlignment="1">
      <alignment horizontal="center" vertical="center" wrapText="1"/>
    </xf>
    <xf numFmtId="0" fontId="34" fillId="5" borderId="35" xfId="1" applyFont="1" applyFill="1" applyBorder="1" applyAlignment="1">
      <alignment horizontal="center" vertical="center" wrapText="1"/>
    </xf>
    <xf numFmtId="0" fontId="34" fillId="5" borderId="32" xfId="1" applyFont="1" applyFill="1" applyBorder="1" applyAlignment="1">
      <alignment horizontal="center" vertical="center" wrapText="1"/>
    </xf>
    <xf numFmtId="0" fontId="34" fillId="9" borderId="16" xfId="1" applyFont="1" applyFill="1" applyBorder="1" applyAlignment="1">
      <alignment horizontal="center" vertical="center" wrapText="1"/>
    </xf>
    <xf numFmtId="0" fontId="34" fillId="9" borderId="6" xfId="1" applyFont="1" applyFill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8" fillId="13" borderId="1" xfId="1" applyFont="1" applyFill="1" applyBorder="1" applyAlignment="1">
      <alignment horizontal="center" vertical="center"/>
    </xf>
    <xf numFmtId="0" fontId="18" fillId="13" borderId="7" xfId="1" applyFont="1" applyFill="1" applyBorder="1" applyAlignment="1">
      <alignment horizontal="center" vertical="center"/>
    </xf>
    <xf numFmtId="0" fontId="1" fillId="9" borderId="16" xfId="1" applyFill="1" applyBorder="1" applyAlignment="1">
      <alignment horizontal="center" vertical="center" wrapText="1"/>
    </xf>
    <xf numFmtId="0" fontId="1" fillId="9" borderId="6" xfId="1" applyFill="1" applyBorder="1" applyAlignment="1">
      <alignment horizontal="center" vertical="center" wrapText="1"/>
    </xf>
    <xf numFmtId="0" fontId="1" fillId="10" borderId="18" xfId="1" applyFill="1" applyBorder="1" applyAlignment="1">
      <alignment horizontal="center" vertical="center" wrapText="1"/>
    </xf>
    <xf numFmtId="0" fontId="1" fillId="10" borderId="5" xfId="1" applyFill="1" applyBorder="1" applyAlignment="1">
      <alignment horizontal="center" vertical="center" wrapText="1"/>
    </xf>
    <xf numFmtId="0" fontId="1" fillId="4" borderId="18" xfId="1" applyFill="1" applyBorder="1" applyAlignment="1">
      <alignment horizontal="center" vertical="center" wrapText="1"/>
    </xf>
    <xf numFmtId="0" fontId="1" fillId="4" borderId="5" xfId="1" applyFill="1" applyBorder="1" applyAlignment="1">
      <alignment horizontal="center" vertical="center" wrapText="1"/>
    </xf>
    <xf numFmtId="0" fontId="1" fillId="5" borderId="35" xfId="1" applyFill="1" applyBorder="1" applyAlignment="1">
      <alignment horizontal="center" vertical="center" wrapText="1"/>
    </xf>
    <xf numFmtId="0" fontId="1" fillId="5" borderId="32" xfId="1" applyFill="1" applyBorder="1" applyAlignment="1">
      <alignment horizontal="center" vertical="center" wrapText="1"/>
    </xf>
    <xf numFmtId="0" fontId="1" fillId="5" borderId="18" xfId="1" applyFill="1" applyBorder="1" applyAlignment="1">
      <alignment horizontal="center" vertical="center" wrapText="1"/>
    </xf>
    <xf numFmtId="0" fontId="1" fillId="5" borderId="5" xfId="1" applyFill="1" applyBorder="1" applyAlignment="1">
      <alignment horizontal="center" vertical="center" wrapText="1"/>
    </xf>
    <xf numFmtId="0" fontId="18" fillId="13" borderId="18" xfId="1" applyFont="1" applyFill="1" applyBorder="1" applyAlignment="1">
      <alignment horizontal="center" vertical="center" wrapText="1"/>
    </xf>
    <xf numFmtId="0" fontId="18" fillId="13" borderId="5" xfId="1" applyFont="1" applyFill="1" applyBorder="1" applyAlignment="1">
      <alignment horizontal="center" vertical="center" wrapText="1"/>
    </xf>
    <xf numFmtId="0" fontId="1" fillId="9" borderId="18" xfId="1" applyFill="1" applyBorder="1" applyAlignment="1">
      <alignment horizontal="center" vertical="center" wrapText="1"/>
    </xf>
    <xf numFmtId="0" fontId="1" fillId="9" borderId="5" xfId="1" applyFill="1" applyBorder="1" applyAlignment="1">
      <alignment horizontal="center" vertical="center" wrapText="1"/>
    </xf>
    <xf numFmtId="0" fontId="17" fillId="13" borderId="95" xfId="0" applyFont="1" applyFill="1" applyBorder="1" applyAlignment="1">
      <alignment horizontal="center" vertical="center" wrapText="1"/>
    </xf>
    <xf numFmtId="0" fontId="17" fillId="13" borderId="24" xfId="0" applyFont="1" applyFill="1" applyBorder="1" applyAlignment="1">
      <alignment horizontal="center" vertical="center" wrapText="1"/>
    </xf>
    <xf numFmtId="0" fontId="17" fillId="13" borderId="2" xfId="0" applyFont="1" applyFill="1" applyBorder="1" applyAlignment="1">
      <alignment horizontal="center" vertical="center" wrapText="1"/>
    </xf>
    <xf numFmtId="0" fontId="17" fillId="13" borderId="96" xfId="0" applyFont="1" applyFill="1" applyBorder="1" applyAlignment="1">
      <alignment horizontal="center" vertical="center" wrapText="1"/>
    </xf>
    <xf numFmtId="0" fontId="17" fillId="13" borderId="23" xfId="0" applyFont="1" applyFill="1" applyBorder="1" applyAlignment="1">
      <alignment horizontal="center" vertical="center" wrapText="1"/>
    </xf>
    <xf numFmtId="0" fontId="17" fillId="13" borderId="4" xfId="0" applyFont="1" applyFill="1" applyBorder="1" applyAlignment="1">
      <alignment horizontal="center" vertical="center" wrapText="1"/>
    </xf>
    <xf numFmtId="0" fontId="11" fillId="8" borderId="0" xfId="0" applyFont="1" applyFill="1" applyAlignment="1">
      <alignment horizontal="right" vertical="center" wrapText="1" indent="1"/>
    </xf>
    <xf numFmtId="0" fontId="6" fillId="0" borderId="1" xfId="1" applyFont="1" applyBorder="1" applyAlignment="1">
      <alignment horizontal="right" vertical="center" indent="1"/>
    </xf>
    <xf numFmtId="0" fontId="6" fillId="0" borderId="7" xfId="1" applyFont="1" applyBorder="1" applyAlignment="1">
      <alignment horizontal="right" vertical="center" indent="1"/>
    </xf>
    <xf numFmtId="0" fontId="1" fillId="8" borderId="97" xfId="1" applyFill="1" applyBorder="1" applyAlignment="1">
      <alignment horizontal="center" vertical="center" wrapText="1"/>
    </xf>
    <xf numFmtId="0" fontId="1" fillId="8" borderId="98" xfId="1" applyFill="1" applyBorder="1" applyAlignment="1">
      <alignment horizontal="center" vertical="center" wrapText="1"/>
    </xf>
    <xf numFmtId="0" fontId="1" fillId="8" borderId="99" xfId="1" applyFill="1" applyBorder="1" applyAlignment="1">
      <alignment horizontal="center" vertical="center" wrapText="1"/>
    </xf>
    <xf numFmtId="0" fontId="23" fillId="8" borderId="0" xfId="0" applyFont="1" applyFill="1" applyAlignment="1">
      <alignment horizontal="left" wrapText="1"/>
    </xf>
    <xf numFmtId="0" fontId="21" fillId="0" borderId="1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 wrapText="1"/>
    </xf>
    <xf numFmtId="164" fontId="17" fillId="13" borderId="63" xfId="0" applyNumberFormat="1" applyFont="1" applyFill="1" applyBorder="1" applyAlignment="1">
      <alignment horizontal="center" vertical="center" wrapText="1"/>
    </xf>
    <xf numFmtId="0" fontId="1" fillId="8" borderId="10" xfId="1" applyFill="1" applyBorder="1" applyAlignment="1">
      <alignment horizontal="center" vertical="center"/>
    </xf>
    <xf numFmtId="0" fontId="1" fillId="8" borderId="12" xfId="1" applyFill="1" applyBorder="1" applyAlignment="1">
      <alignment horizontal="center" vertical="center"/>
    </xf>
    <xf numFmtId="0" fontId="1" fillId="8" borderId="2" xfId="1" applyFill="1" applyBorder="1" applyAlignment="1">
      <alignment horizontal="center" vertical="center"/>
    </xf>
    <xf numFmtId="0" fontId="1" fillId="8" borderId="4" xfId="1" applyFill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35" xfId="1" applyBorder="1" applyAlignment="1">
      <alignment horizontal="center" vertical="center"/>
    </xf>
    <xf numFmtId="0" fontId="1" fillId="0" borderId="32" xfId="1" applyBorder="1" applyAlignment="1">
      <alignment horizontal="center" vertical="center"/>
    </xf>
    <xf numFmtId="164" fontId="17" fillId="13" borderId="53" xfId="0" applyNumberFormat="1" applyFont="1" applyFill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/>
    </xf>
    <xf numFmtId="164" fontId="17" fillId="13" borderId="63" xfId="0" applyNumberFormat="1" applyFont="1" applyFill="1" applyBorder="1" applyAlignment="1">
      <alignment horizontal="center" vertical="center"/>
    </xf>
    <xf numFmtId="164" fontId="11" fillId="13" borderId="102" xfId="0" applyNumberFormat="1" applyFont="1" applyFill="1" applyBorder="1" applyAlignment="1">
      <alignment horizontal="center" vertical="center" wrapText="1"/>
    </xf>
    <xf numFmtId="164" fontId="11" fillId="13" borderId="103" xfId="0" applyNumberFormat="1" applyFont="1" applyFill="1" applyBorder="1" applyAlignment="1">
      <alignment horizontal="center" vertical="center" wrapText="1"/>
    </xf>
    <xf numFmtId="164" fontId="11" fillId="13" borderId="104" xfId="0" applyNumberFormat="1" applyFont="1" applyFill="1" applyBorder="1" applyAlignment="1">
      <alignment horizontal="center" vertical="center" wrapText="1"/>
    </xf>
    <xf numFmtId="164" fontId="11" fillId="13" borderId="102" xfId="0" applyNumberFormat="1" applyFont="1" applyFill="1" applyBorder="1" applyAlignment="1">
      <alignment horizontal="center" vertical="center"/>
    </xf>
    <xf numFmtId="164" fontId="11" fillId="13" borderId="103" xfId="0" applyNumberFormat="1" applyFont="1" applyFill="1" applyBorder="1" applyAlignment="1">
      <alignment horizontal="center" vertical="center"/>
    </xf>
    <xf numFmtId="164" fontId="11" fillId="13" borderId="104" xfId="0" applyNumberFormat="1" applyFont="1" applyFill="1" applyBorder="1" applyAlignment="1">
      <alignment horizontal="center" vertical="center"/>
    </xf>
    <xf numFmtId="164" fontId="11" fillId="13" borderId="110" xfId="0" applyNumberFormat="1" applyFont="1" applyFill="1" applyBorder="1" applyAlignment="1">
      <alignment horizontal="center" vertical="center" wrapText="1"/>
    </xf>
    <xf numFmtId="164" fontId="11" fillId="13" borderId="111" xfId="0" applyNumberFormat="1" applyFont="1" applyFill="1" applyBorder="1" applyAlignment="1">
      <alignment horizontal="center" vertical="center" wrapText="1"/>
    </xf>
    <xf numFmtId="164" fontId="11" fillId="13" borderId="112" xfId="0" applyNumberFormat="1" applyFont="1" applyFill="1" applyBorder="1" applyAlignment="1">
      <alignment horizontal="center" vertical="center" wrapText="1"/>
    </xf>
    <xf numFmtId="164" fontId="11" fillId="13" borderId="110" xfId="0" applyNumberFormat="1" applyFont="1" applyFill="1" applyBorder="1" applyAlignment="1">
      <alignment horizontal="center" vertical="center"/>
    </xf>
    <xf numFmtId="164" fontId="11" fillId="13" borderId="111" xfId="0" applyNumberFormat="1" applyFont="1" applyFill="1" applyBorder="1" applyAlignment="1">
      <alignment horizontal="center" vertical="center"/>
    </xf>
    <xf numFmtId="164" fontId="11" fillId="13" borderId="112" xfId="0" applyNumberFormat="1" applyFont="1" applyFill="1" applyBorder="1" applyAlignment="1">
      <alignment horizontal="center" vertical="center"/>
    </xf>
    <xf numFmtId="0" fontId="1" fillId="8" borderId="20" xfId="1" applyFill="1" applyBorder="1" applyAlignment="1">
      <alignment horizontal="center" vertical="center" wrapText="1"/>
    </xf>
    <xf numFmtId="0" fontId="1" fillId="8" borderId="22" xfId="1" applyFill="1" applyBorder="1" applyAlignment="1">
      <alignment horizontal="center" vertical="center" wrapText="1"/>
    </xf>
    <xf numFmtId="0" fontId="1" fillId="8" borderId="13" xfId="1" applyFill="1" applyBorder="1" applyAlignment="1">
      <alignment horizontal="center" vertical="center" wrapText="1"/>
    </xf>
    <xf numFmtId="0" fontId="1" fillId="8" borderId="15" xfId="1" applyFill="1" applyBorder="1" applyAlignment="1">
      <alignment horizontal="center" vertical="center" wrapText="1"/>
    </xf>
    <xf numFmtId="0" fontId="1" fillId="8" borderId="16" xfId="1" applyFill="1" applyBorder="1" applyAlignment="1">
      <alignment horizontal="center" vertical="center" wrapText="1"/>
    </xf>
    <xf numFmtId="0" fontId="1" fillId="8" borderId="6" xfId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8" borderId="13" xfId="1" applyFill="1" applyBorder="1" applyAlignment="1">
      <alignment horizontal="center" vertical="center"/>
    </xf>
    <xf numFmtId="0" fontId="1" fillId="8" borderId="15" xfId="1" applyFill="1" applyBorder="1" applyAlignment="1">
      <alignment horizontal="center" vertical="center"/>
    </xf>
    <xf numFmtId="0" fontId="1" fillId="8" borderId="35" xfId="1" applyFill="1" applyBorder="1" applyAlignment="1">
      <alignment horizontal="center" vertical="center" wrapText="1"/>
    </xf>
    <xf numFmtId="0" fontId="1" fillId="8" borderId="32" xfId="1" applyFill="1" applyBorder="1" applyAlignment="1">
      <alignment horizontal="center" vertical="center" wrapText="1"/>
    </xf>
    <xf numFmtId="0" fontId="1" fillId="8" borderId="18" xfId="1" applyFill="1" applyBorder="1" applyAlignment="1">
      <alignment horizontal="center" vertical="center" wrapText="1"/>
    </xf>
    <xf numFmtId="0" fontId="1" fillId="8" borderId="5" xfId="1" applyFill="1" applyBorder="1" applyAlignment="1">
      <alignment horizontal="center" vertical="center" wrapText="1"/>
    </xf>
    <xf numFmtId="0" fontId="1" fillId="8" borderId="35" xfId="1" applyFill="1" applyBorder="1" applyAlignment="1">
      <alignment horizontal="center" vertical="center"/>
    </xf>
    <xf numFmtId="0" fontId="1" fillId="8" borderId="32" xfId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17" fillId="13" borderId="48" xfId="0" applyNumberFormat="1" applyFont="1" applyFill="1" applyBorder="1" applyAlignment="1">
      <alignment horizontal="center" vertical="center"/>
    </xf>
    <xf numFmtId="164" fontId="17" fillId="13" borderId="49" xfId="0" applyNumberFormat="1" applyFont="1" applyFill="1" applyBorder="1" applyAlignment="1">
      <alignment horizontal="center" vertical="center"/>
    </xf>
    <xf numFmtId="164" fontId="17" fillId="13" borderId="70" xfId="0" applyNumberFormat="1" applyFont="1" applyFill="1" applyBorder="1" applyAlignment="1">
      <alignment horizontal="center" vertical="center"/>
    </xf>
    <xf numFmtId="0" fontId="19" fillId="13" borderId="95" xfId="0" applyFont="1" applyFill="1" applyBorder="1" applyAlignment="1">
      <alignment horizontal="center" vertical="center" wrapText="1"/>
    </xf>
    <xf numFmtId="0" fontId="19" fillId="13" borderId="24" xfId="0" applyFont="1" applyFill="1" applyBorder="1" applyAlignment="1">
      <alignment horizontal="center" vertical="center" wrapText="1"/>
    </xf>
    <xf numFmtId="0" fontId="19" fillId="13" borderId="2" xfId="0" applyFont="1" applyFill="1" applyBorder="1" applyAlignment="1">
      <alignment horizontal="center" vertical="center" wrapText="1"/>
    </xf>
    <xf numFmtId="0" fontId="19" fillId="13" borderId="96" xfId="0" applyFont="1" applyFill="1" applyBorder="1" applyAlignment="1">
      <alignment horizontal="center" vertical="center" wrapText="1"/>
    </xf>
    <xf numFmtId="0" fontId="19" fillId="13" borderId="23" xfId="0" applyFont="1" applyFill="1" applyBorder="1" applyAlignment="1">
      <alignment horizontal="center" vertical="center" wrapText="1"/>
    </xf>
    <xf numFmtId="0" fontId="19" fillId="13" borderId="4" xfId="0" applyFont="1" applyFill="1" applyBorder="1" applyAlignment="1">
      <alignment horizontal="center" vertical="center" wrapText="1"/>
    </xf>
    <xf numFmtId="0" fontId="1" fillId="11" borderId="18" xfId="1" applyFill="1" applyBorder="1" applyAlignment="1">
      <alignment horizontal="center" vertical="center" wrapText="1"/>
    </xf>
    <xf numFmtId="0" fontId="1" fillId="11" borderId="5" xfId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/>
    </xf>
    <xf numFmtId="0" fontId="6" fillId="8" borderId="7" xfId="1" applyFont="1" applyFill="1" applyBorder="1" applyAlignment="1">
      <alignment horizontal="center" vertical="center"/>
    </xf>
    <xf numFmtId="164" fontId="11" fillId="13" borderId="11" xfId="0" applyNumberFormat="1" applyFont="1" applyFill="1" applyBorder="1" applyAlignment="1">
      <alignment horizontal="center" vertical="center"/>
    </xf>
    <xf numFmtId="164" fontId="11" fillId="13" borderId="0" xfId="0" applyNumberFormat="1" applyFont="1" applyFill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20" fillId="13" borderId="100" xfId="1" applyFont="1" applyFill="1" applyBorder="1" applyAlignment="1">
      <alignment horizontal="center" vertical="center"/>
    </xf>
    <xf numFmtId="0" fontId="20" fillId="13" borderId="8" xfId="1" applyFont="1" applyFill="1" applyBorder="1" applyAlignment="1">
      <alignment horizontal="center" vertical="center"/>
    </xf>
    <xf numFmtId="0" fontId="20" fillId="13" borderId="7" xfId="1" applyFont="1" applyFill="1" applyBorder="1" applyAlignment="1">
      <alignment horizontal="center" vertical="center"/>
    </xf>
    <xf numFmtId="164" fontId="17" fillId="13" borderId="11" xfId="0" applyNumberFormat="1" applyFont="1" applyFill="1" applyBorder="1" applyAlignment="1">
      <alignment horizontal="center" vertical="center"/>
    </xf>
    <xf numFmtId="164" fontId="17" fillId="13" borderId="0" xfId="0" applyNumberFormat="1" applyFont="1" applyFill="1" applyAlignment="1">
      <alignment horizontal="center" vertical="center"/>
    </xf>
    <xf numFmtId="164" fontId="17" fillId="13" borderId="3" xfId="0" applyNumberFormat="1" applyFont="1" applyFill="1" applyBorder="1" applyAlignment="1">
      <alignment horizontal="center" vertical="center"/>
    </xf>
  </cellXfs>
  <cellStyles count="4">
    <cellStyle name="Hyperlink" xfId="3" builtinId="8"/>
    <cellStyle name="Normal" xfId="0" builtinId="0"/>
    <cellStyle name="Normal 2" xfId="1" xr:uid="{00000000-0005-0000-0000-000002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54"/>
  <sheetViews>
    <sheetView tabSelected="1" topLeftCell="D232" zoomScale="106" zoomScaleNormal="106" zoomScaleSheetLayoutView="100" workbookViewId="0">
      <selection activeCell="G244" sqref="G244"/>
    </sheetView>
  </sheetViews>
  <sheetFormatPr defaultColWidth="9.140625" defaultRowHeight="18" customHeight="1" x14ac:dyDescent="0.25"/>
  <cols>
    <col min="1" max="1" width="1.28515625" style="433" customWidth="1"/>
    <col min="2" max="2" width="8.85546875" style="433" customWidth="1"/>
    <col min="3" max="3" width="12.85546875" style="433" customWidth="1"/>
    <col min="4" max="12" width="15.5703125" style="433" customWidth="1"/>
    <col min="13" max="13" width="11.5703125" style="433" customWidth="1"/>
    <col min="14" max="23" width="15.5703125" style="433" customWidth="1"/>
    <col min="24" max="24" width="1.28515625" style="433" customWidth="1"/>
    <col min="25" max="25" width="18" style="433" customWidth="1"/>
    <col min="26" max="16384" width="9.140625" style="433"/>
  </cols>
  <sheetData>
    <row r="1" spans="1:26" ht="7.5" customHeight="1" x14ac:dyDescent="0.25">
      <c r="A1" s="431"/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</row>
    <row r="2" spans="1:26" ht="18" customHeight="1" x14ac:dyDescent="0.25">
      <c r="A2" s="431"/>
      <c r="B2" s="431"/>
      <c r="C2" s="431"/>
      <c r="D2" s="434" t="s">
        <v>149</v>
      </c>
      <c r="E2" s="431"/>
      <c r="F2" s="431"/>
      <c r="G2" s="431"/>
      <c r="H2" s="431"/>
      <c r="I2" s="431"/>
      <c r="J2" s="431"/>
      <c r="K2" s="431"/>
      <c r="L2" s="435" t="s">
        <v>140</v>
      </c>
      <c r="M2" s="431"/>
      <c r="N2" s="614"/>
      <c r="W2" s="615"/>
    </row>
    <row r="3" spans="1:26" ht="6" customHeight="1" thickBot="1" x14ac:dyDescent="0.3">
      <c r="A3" s="431"/>
      <c r="B3" s="431"/>
      <c r="C3" s="431"/>
      <c r="D3" s="434"/>
      <c r="E3" s="431"/>
      <c r="F3" s="431"/>
      <c r="G3" s="431"/>
      <c r="H3" s="431"/>
      <c r="I3" s="431"/>
      <c r="J3" s="431"/>
      <c r="K3" s="431"/>
      <c r="L3" s="431"/>
      <c r="M3" s="431"/>
    </row>
    <row r="4" spans="1:26" ht="18" customHeight="1" x14ac:dyDescent="0.25">
      <c r="A4" s="431"/>
      <c r="B4" s="431"/>
      <c r="C4" s="431"/>
      <c r="D4" s="436" t="s">
        <v>142</v>
      </c>
      <c r="E4" s="437"/>
      <c r="F4" s="437"/>
      <c r="G4" s="437"/>
      <c r="H4" s="758" t="s">
        <v>137</v>
      </c>
      <c r="I4" s="758"/>
      <c r="J4" s="758"/>
      <c r="K4" s="758"/>
      <c r="L4" s="759"/>
      <c r="M4" s="431"/>
      <c r="N4" s="616"/>
      <c r="P4" s="614"/>
      <c r="Q4" s="614"/>
      <c r="R4" s="614"/>
      <c r="S4" s="614"/>
      <c r="T4" s="757"/>
      <c r="U4" s="757"/>
      <c r="V4" s="757"/>
      <c r="W4" s="757"/>
    </row>
    <row r="5" spans="1:26" ht="18" customHeight="1" thickBot="1" x14ac:dyDescent="0.3">
      <c r="A5" s="431"/>
      <c r="B5" s="431"/>
      <c r="C5" s="431"/>
      <c r="D5" s="440" t="s">
        <v>141</v>
      </c>
      <c r="E5" s="431"/>
      <c r="F5" s="431"/>
      <c r="G5" s="431"/>
      <c r="H5" s="760"/>
      <c r="I5" s="760"/>
      <c r="J5" s="760"/>
      <c r="K5" s="760"/>
      <c r="L5" s="761"/>
      <c r="M5" s="431"/>
      <c r="N5" s="616"/>
      <c r="P5" s="614"/>
      <c r="Q5" s="614"/>
      <c r="R5" s="614"/>
      <c r="S5" s="614"/>
      <c r="T5" s="757"/>
      <c r="U5" s="757"/>
      <c r="V5" s="757"/>
      <c r="W5" s="757"/>
    </row>
    <row r="6" spans="1:26" ht="6" hidden="1" customHeight="1" thickBot="1" x14ac:dyDescent="0.3">
      <c r="A6" s="431"/>
      <c r="B6" s="431"/>
      <c r="C6" s="431"/>
      <c r="D6" s="442"/>
      <c r="E6" s="442"/>
      <c r="F6" s="442"/>
      <c r="G6" s="442"/>
      <c r="H6" s="442"/>
      <c r="I6" s="442"/>
      <c r="J6" s="442"/>
      <c r="K6" s="442"/>
      <c r="L6" s="442"/>
      <c r="M6" s="431"/>
    </row>
    <row r="7" spans="1:26" s="456" customFormat="1" ht="28.5" hidden="1" customHeight="1" thickBot="1" x14ac:dyDescent="0.3">
      <c r="A7" s="443"/>
      <c r="B7" s="762" t="s">
        <v>66</v>
      </c>
      <c r="C7" s="762"/>
      <c r="D7" s="444">
        <v>0.79176563740000006</v>
      </c>
      <c r="E7" s="445">
        <v>0.78616352199999995</v>
      </c>
      <c r="F7" s="444">
        <v>0.77519379840000002</v>
      </c>
      <c r="G7" s="444">
        <v>0.77579519009999998</v>
      </c>
      <c r="H7" s="445">
        <v>0.8006405124</v>
      </c>
      <c r="I7" s="444">
        <v>0.77279752700000004</v>
      </c>
      <c r="J7" s="446">
        <v>0.78864353310000002</v>
      </c>
      <c r="K7" s="444">
        <v>0.78740157479999995</v>
      </c>
      <c r="L7" s="444">
        <v>0.79744816590000001</v>
      </c>
      <c r="M7" s="447"/>
      <c r="N7" s="617"/>
      <c r="O7" s="618"/>
      <c r="P7" s="618"/>
      <c r="Q7" s="617"/>
      <c r="R7" s="617"/>
      <c r="S7" s="617"/>
      <c r="T7" s="617"/>
      <c r="U7" s="617"/>
      <c r="V7" s="618"/>
      <c r="W7" s="617"/>
      <c r="X7" s="455"/>
      <c r="Y7" s="455"/>
      <c r="Z7" s="455"/>
    </row>
    <row r="8" spans="1:26" ht="6" customHeight="1" thickBot="1" x14ac:dyDescent="0.3">
      <c r="A8" s="431"/>
      <c r="B8" s="431"/>
      <c r="C8" s="431"/>
      <c r="D8" s="457"/>
      <c r="E8" s="457"/>
      <c r="F8" s="457"/>
      <c r="G8" s="457"/>
      <c r="H8" s="457"/>
      <c r="I8" s="457"/>
      <c r="J8" s="457"/>
      <c r="K8" s="457"/>
      <c r="L8" s="457"/>
      <c r="M8" s="431"/>
    </row>
    <row r="9" spans="1:26" ht="18" customHeight="1" thickBot="1" x14ac:dyDescent="0.3">
      <c r="A9" s="431"/>
      <c r="B9" s="766" t="s">
        <v>145</v>
      </c>
      <c r="C9" s="431"/>
      <c r="D9" s="458" t="s">
        <v>129</v>
      </c>
      <c r="E9" s="459"/>
      <c r="F9" s="459"/>
      <c r="G9" s="459"/>
      <c r="H9" s="459"/>
      <c r="I9" s="459"/>
      <c r="J9" s="459"/>
      <c r="K9" s="459"/>
      <c r="L9" s="460"/>
      <c r="M9" s="461"/>
      <c r="N9" s="619"/>
      <c r="O9" s="620"/>
      <c r="P9" s="620"/>
      <c r="Q9" s="621"/>
      <c r="R9" s="621"/>
      <c r="S9" s="621"/>
      <c r="T9" s="621"/>
      <c r="U9" s="621"/>
      <c r="V9" s="621"/>
      <c r="W9" s="621"/>
    </row>
    <row r="10" spans="1:26" ht="6" customHeight="1" thickBot="1" x14ac:dyDescent="0.3">
      <c r="A10" s="431"/>
      <c r="B10" s="766"/>
      <c r="C10" s="431"/>
      <c r="D10" s="442"/>
      <c r="E10" s="442"/>
      <c r="F10" s="442"/>
      <c r="G10" s="442"/>
      <c r="H10" s="442"/>
      <c r="I10" s="442"/>
      <c r="J10" s="442"/>
      <c r="K10" s="442"/>
      <c r="L10" s="442"/>
      <c r="M10" s="431"/>
    </row>
    <row r="11" spans="1:26" ht="18" customHeight="1" thickBot="1" x14ac:dyDescent="0.3">
      <c r="A11" s="431"/>
      <c r="B11" s="766"/>
      <c r="C11" s="463" t="s">
        <v>134</v>
      </c>
      <c r="D11" s="464">
        <v>0.79617834389999997</v>
      </c>
      <c r="E11" s="465">
        <v>0.7955449483</v>
      </c>
      <c r="F11" s="465">
        <v>0.81967213110000003</v>
      </c>
      <c r="G11" s="465">
        <v>0.79681274899999999</v>
      </c>
      <c r="H11" s="465">
        <v>0.8</v>
      </c>
      <c r="I11" s="465">
        <v>0.80906148870000005</v>
      </c>
      <c r="J11" s="465">
        <v>0.80192461910000001</v>
      </c>
      <c r="K11" s="465">
        <v>0.81103000810000003</v>
      </c>
      <c r="L11" s="466">
        <v>0.79051383399999997</v>
      </c>
      <c r="M11" s="467"/>
      <c r="N11" s="622"/>
      <c r="O11" s="622"/>
      <c r="P11" s="622"/>
      <c r="Q11" s="623"/>
      <c r="R11" s="624"/>
      <c r="S11" s="624"/>
      <c r="T11" s="622"/>
      <c r="U11" s="622"/>
      <c r="V11" s="625"/>
      <c r="W11" s="625"/>
    </row>
    <row r="12" spans="1:26" ht="6" customHeight="1" thickBot="1" x14ac:dyDescent="0.3">
      <c r="A12" s="431"/>
      <c r="B12" s="431"/>
      <c r="C12" s="431"/>
      <c r="D12" s="442"/>
      <c r="E12" s="442"/>
      <c r="F12" s="442"/>
      <c r="G12" s="442"/>
      <c r="H12" s="442"/>
      <c r="I12" s="442"/>
      <c r="J12" s="442"/>
      <c r="K12" s="442"/>
      <c r="L12" s="442"/>
      <c r="M12" s="431"/>
    </row>
    <row r="13" spans="1:26" ht="18" customHeight="1" thickBot="1" x14ac:dyDescent="0.3">
      <c r="A13" s="431"/>
      <c r="B13" s="763" t="s">
        <v>136</v>
      </c>
      <c r="C13" s="764"/>
      <c r="D13" s="477">
        <v>3</v>
      </c>
      <c r="E13" s="478">
        <v>4</v>
      </c>
      <c r="F13" s="478">
        <v>5</v>
      </c>
      <c r="G13" s="478">
        <v>6</v>
      </c>
      <c r="H13" s="478">
        <v>7</v>
      </c>
      <c r="I13" s="478">
        <v>8</v>
      </c>
      <c r="J13" s="478">
        <v>9</v>
      </c>
      <c r="K13" s="478">
        <v>10</v>
      </c>
      <c r="L13" s="479">
        <v>11</v>
      </c>
      <c r="M13" s="480"/>
      <c r="N13" s="626"/>
      <c r="O13" s="765"/>
      <c r="P13" s="765"/>
      <c r="Q13" s="765"/>
      <c r="R13" s="765"/>
      <c r="S13" s="765"/>
      <c r="T13" s="765"/>
      <c r="U13" s="765"/>
      <c r="V13" s="765"/>
      <c r="W13" s="765"/>
    </row>
    <row r="14" spans="1:26" ht="18" customHeight="1" x14ac:dyDescent="0.25">
      <c r="A14" s="431"/>
      <c r="B14" s="735" t="s">
        <v>72</v>
      </c>
      <c r="C14" s="737" t="s">
        <v>73</v>
      </c>
      <c r="D14" s="739" t="s">
        <v>8</v>
      </c>
      <c r="E14" s="741" t="s">
        <v>67</v>
      </c>
      <c r="F14" s="741" t="s">
        <v>9</v>
      </c>
      <c r="G14" s="741" t="s">
        <v>58</v>
      </c>
      <c r="H14" s="741" t="s">
        <v>68</v>
      </c>
      <c r="I14" s="741" t="s">
        <v>24</v>
      </c>
      <c r="J14" s="741" t="s">
        <v>11</v>
      </c>
      <c r="K14" s="741" t="s">
        <v>12</v>
      </c>
      <c r="L14" s="743" t="s">
        <v>13</v>
      </c>
      <c r="M14" s="482"/>
      <c r="N14" s="765"/>
      <c r="O14" s="765"/>
      <c r="P14" s="765"/>
      <c r="Q14" s="780"/>
      <c r="R14" s="765"/>
      <c r="S14" s="626"/>
      <c r="T14" s="765"/>
      <c r="U14" s="765"/>
      <c r="V14" s="779"/>
      <c r="W14" s="779"/>
    </row>
    <row r="15" spans="1:26" ht="18" customHeight="1" thickBot="1" x14ac:dyDescent="0.3">
      <c r="A15" s="431"/>
      <c r="B15" s="736"/>
      <c r="C15" s="738"/>
      <c r="D15" s="740"/>
      <c r="E15" s="742"/>
      <c r="F15" s="742"/>
      <c r="G15" s="742"/>
      <c r="H15" s="742"/>
      <c r="I15" s="742"/>
      <c r="J15" s="742"/>
      <c r="K15" s="742"/>
      <c r="L15" s="744"/>
      <c r="M15" s="482"/>
      <c r="N15" s="765"/>
      <c r="O15" s="765"/>
      <c r="P15" s="765"/>
      <c r="Q15" s="780"/>
      <c r="R15" s="765"/>
      <c r="S15" s="626"/>
      <c r="T15" s="765"/>
      <c r="U15" s="765"/>
      <c r="V15" s="627"/>
      <c r="W15" s="627"/>
    </row>
    <row r="16" spans="1:26" ht="18" customHeight="1" x14ac:dyDescent="0.25">
      <c r="A16" s="431"/>
      <c r="B16" s="485">
        <v>1</v>
      </c>
      <c r="C16" s="486">
        <v>2008</v>
      </c>
      <c r="D16" s="487">
        <f>'Table X12 Indices 2012=100'!D16*$D$11</f>
        <v>60.111464964450001</v>
      </c>
      <c r="E16" s="488">
        <f>'Table X12 Indices 2012=100'!E16*$E$11</f>
        <v>58.870326174200002</v>
      </c>
      <c r="F16" s="488">
        <f>'Table X12 Indices 2012=100'!F16*$F$11</f>
        <v>61.065573766950003</v>
      </c>
      <c r="G16" s="488">
        <f>'Table X12 Indices 2012=100'!G16*$G$11</f>
        <v>59.362549800499998</v>
      </c>
      <c r="H16" s="488">
        <f>'Table X12 Indices 2012=100'!H16*$H$11</f>
        <v>60.400000000000006</v>
      </c>
      <c r="I16" s="488">
        <f>'Table X12 Indices 2012=100'!I16*$I$11</f>
        <v>60.355987057020002</v>
      </c>
      <c r="J16" s="488">
        <f>'Table X12 Indices 2012=100'!J16*$J$11</f>
        <v>60.625501203959999</v>
      </c>
      <c r="K16" s="488">
        <f>'Table X12 Indices 2012=100'!K16*$K$11</f>
        <v>60.583941605070002</v>
      </c>
      <c r="L16" s="489">
        <f>'Table X12 Indices 2012=100'!L16*$L$11</f>
        <v>59.604743083599999</v>
      </c>
      <c r="M16" s="490"/>
      <c r="N16" s="628"/>
      <c r="O16" s="628"/>
      <c r="P16" s="628"/>
      <c r="Q16" s="629"/>
      <c r="R16" s="628"/>
      <c r="S16" s="628"/>
      <c r="T16" s="628"/>
      <c r="U16" s="628"/>
      <c r="V16" s="630"/>
      <c r="W16" s="630"/>
    </row>
    <row r="17" spans="1:23" ht="18" customHeight="1" x14ac:dyDescent="0.25">
      <c r="A17" s="431"/>
      <c r="B17" s="500">
        <v>2</v>
      </c>
      <c r="C17" s="501">
        <v>2008</v>
      </c>
      <c r="D17" s="502">
        <f>'Table X12 Indices 2012=100'!D17*$D$11</f>
        <v>60.350318467619999</v>
      </c>
      <c r="E17" s="503">
        <f>'Table X12 Indices 2012=100'!E17*$E$11</f>
        <v>59.10898965869</v>
      </c>
      <c r="F17" s="503">
        <f>'Table X12 Indices 2012=100'!F17*$F$11</f>
        <v>61.229508193170005</v>
      </c>
      <c r="G17" s="503">
        <f>'Table X12 Indices 2012=100'!G17*$G$11</f>
        <v>59.601593625199996</v>
      </c>
      <c r="H17" s="503">
        <f>'Table X12 Indices 2012=100'!H17*$H$11</f>
        <v>60.720000000000006</v>
      </c>
      <c r="I17" s="503">
        <f>'Table X12 Indices 2012=100'!I17*$I$11</f>
        <v>60.76051780137</v>
      </c>
      <c r="J17" s="503">
        <f>'Table X12 Indices 2012=100'!J17*$J$11</f>
        <v>61.106655975420004</v>
      </c>
      <c r="K17" s="503">
        <f>'Table X12 Indices 2012=100'!K17*$K$11</f>
        <v>60.827250607500005</v>
      </c>
      <c r="L17" s="504">
        <f>'Table X12 Indices 2012=100'!L17*$L$11</f>
        <v>59.920948617199997</v>
      </c>
      <c r="M17" s="490"/>
      <c r="N17" s="628"/>
      <c r="O17" s="628"/>
      <c r="P17" s="628"/>
      <c r="Q17" s="629"/>
      <c r="R17" s="628"/>
      <c r="S17" s="628"/>
      <c r="T17" s="628"/>
      <c r="U17" s="628"/>
      <c r="V17" s="630"/>
      <c r="W17" s="630"/>
    </row>
    <row r="18" spans="1:23" ht="18" customHeight="1" x14ac:dyDescent="0.25">
      <c r="A18" s="431"/>
      <c r="B18" s="500">
        <v>3</v>
      </c>
      <c r="C18" s="501">
        <v>2008</v>
      </c>
      <c r="D18" s="502">
        <f>'Table X12 Indices 2012=100'!D18*$D$11</f>
        <v>61.305732480300001</v>
      </c>
      <c r="E18" s="503">
        <f>'Table X12 Indices 2012=100'!E18*$E$11</f>
        <v>59.904534606989998</v>
      </c>
      <c r="F18" s="503">
        <f>'Table X12 Indices 2012=100'!F18*$F$11</f>
        <v>61.96721311116</v>
      </c>
      <c r="G18" s="503">
        <f>'Table X12 Indices 2012=100'!G18*$G$11</f>
        <v>60.478087649100004</v>
      </c>
      <c r="H18" s="503">
        <f>'Table X12 Indices 2012=100'!H18*$H$11</f>
        <v>61.2</v>
      </c>
      <c r="I18" s="503">
        <f>'Table X12 Indices 2012=100'!I18*$I$11</f>
        <v>61.650485438940009</v>
      </c>
      <c r="J18" s="503">
        <f>'Table X12 Indices 2012=100'!J18*$J$11</f>
        <v>62.149157980250003</v>
      </c>
      <c r="K18" s="503">
        <f>'Table X12 Indices 2012=100'!K18*$K$11</f>
        <v>61.232765611550001</v>
      </c>
      <c r="L18" s="504">
        <f>'Table X12 Indices 2012=100'!L18*$L$11</f>
        <v>60.553359684399993</v>
      </c>
      <c r="M18" s="490"/>
      <c r="N18" s="628"/>
      <c r="O18" s="628"/>
      <c r="P18" s="628"/>
      <c r="Q18" s="629"/>
      <c r="R18" s="628"/>
      <c r="S18" s="628"/>
      <c r="T18" s="628"/>
      <c r="U18" s="628"/>
      <c r="V18" s="630"/>
      <c r="W18" s="630"/>
    </row>
    <row r="19" spans="1:23" ht="18" customHeight="1" x14ac:dyDescent="0.25">
      <c r="A19" s="431"/>
      <c r="B19" s="500">
        <v>4</v>
      </c>
      <c r="C19" s="501">
        <v>2008</v>
      </c>
      <c r="D19" s="502">
        <f>'Table X12 Indices 2012=100'!D19*$D$11</f>
        <v>61.703821652249999</v>
      </c>
      <c r="E19" s="503">
        <f>'Table X12 Indices 2012=100'!E19*$E$11</f>
        <v>60.381861575970007</v>
      </c>
      <c r="F19" s="503">
        <f>'Table X12 Indices 2012=100'!F19*$F$11</f>
        <v>62.459016389820007</v>
      </c>
      <c r="G19" s="503">
        <f>'Table X12 Indices 2012=100'!G19*$G$11</f>
        <v>60.876494023600003</v>
      </c>
      <c r="H19" s="503">
        <f>'Table X12 Indices 2012=100'!H19*$H$11</f>
        <v>61.760000000000005</v>
      </c>
      <c r="I19" s="503">
        <f>'Table X12 Indices 2012=100'!I19*$I$11</f>
        <v>62.13592233216</v>
      </c>
      <c r="J19" s="503">
        <f>'Table X12 Indices 2012=100'!J19*$J$11</f>
        <v>62.469927827890004</v>
      </c>
      <c r="K19" s="503">
        <f>'Table X12 Indices 2012=100'!K19*$K$11</f>
        <v>61.557177614790007</v>
      </c>
      <c r="L19" s="504">
        <f>'Table X12 Indices 2012=100'!L19*$L$11</f>
        <v>61.106719368199997</v>
      </c>
      <c r="M19" s="490"/>
      <c r="N19" s="628"/>
      <c r="O19" s="628"/>
      <c r="P19" s="628"/>
      <c r="Q19" s="629"/>
      <c r="R19" s="628"/>
      <c r="S19" s="628"/>
      <c r="T19" s="628"/>
      <c r="U19" s="628"/>
      <c r="V19" s="630"/>
      <c r="W19" s="630"/>
    </row>
    <row r="20" spans="1:23" ht="18" customHeight="1" x14ac:dyDescent="0.25">
      <c r="A20" s="431"/>
      <c r="B20" s="500">
        <v>5</v>
      </c>
      <c r="C20" s="501">
        <v>2008</v>
      </c>
      <c r="D20" s="502">
        <f>'Table X12 Indices 2012=100'!D20*$D$11</f>
        <v>62.101910824199997</v>
      </c>
      <c r="E20" s="503">
        <f>'Table X12 Indices 2012=100'!E20*$E$11</f>
        <v>60.938743039779993</v>
      </c>
      <c r="F20" s="503">
        <f>'Table X12 Indices 2012=100'!F20*$F$11</f>
        <v>62.950819668480001</v>
      </c>
      <c r="G20" s="503">
        <f>'Table X12 Indices 2012=100'!G20*$G$11</f>
        <v>61.274900398100002</v>
      </c>
      <c r="H20" s="503">
        <f>'Table X12 Indices 2012=100'!H20*$H$11</f>
        <v>62.160000000000004</v>
      </c>
      <c r="I20" s="503">
        <f>'Table X12 Indices 2012=100'!I20*$I$11</f>
        <v>62.621359225380012</v>
      </c>
      <c r="J20" s="503">
        <f>'Table X12 Indices 2012=100'!J20*$J$11</f>
        <v>62.951082599350002</v>
      </c>
      <c r="K20" s="503">
        <f>'Table X12 Indices 2012=100'!K20*$K$11</f>
        <v>62.124898620459994</v>
      </c>
      <c r="L20" s="504">
        <f>'Table X12 Indices 2012=100'!L20*$L$11</f>
        <v>61.343873518399995</v>
      </c>
      <c r="M20" s="490"/>
      <c r="N20" s="628"/>
      <c r="O20" s="628"/>
      <c r="P20" s="628"/>
      <c r="Q20" s="629"/>
      <c r="R20" s="628"/>
      <c r="S20" s="628"/>
      <c r="T20" s="628"/>
      <c r="U20" s="628"/>
      <c r="V20" s="630"/>
      <c r="W20" s="630"/>
    </row>
    <row r="21" spans="1:23" ht="18" customHeight="1" x14ac:dyDescent="0.25">
      <c r="A21" s="431"/>
      <c r="B21" s="500">
        <v>6</v>
      </c>
      <c r="C21" s="501">
        <v>2008</v>
      </c>
      <c r="D21" s="502">
        <f>'Table X12 Indices 2012=100'!D21*$D$11</f>
        <v>62.738853499319994</v>
      </c>
      <c r="E21" s="503">
        <f>'Table X12 Indices 2012=100'!E21*$E$11</f>
        <v>61.813842482910005</v>
      </c>
      <c r="F21" s="503">
        <f>'Table X12 Indices 2012=100'!F21*$F$11</f>
        <v>63.77049179958</v>
      </c>
      <c r="G21" s="503">
        <f>'Table X12 Indices 2012=100'!G21*$G$11</f>
        <v>61.992031872199995</v>
      </c>
      <c r="H21" s="503">
        <f>'Table X12 Indices 2012=100'!H21*$H$11</f>
        <v>63.360000000000007</v>
      </c>
      <c r="I21" s="503">
        <f>'Table X12 Indices 2012=100'!I21*$I$11</f>
        <v>63.511326862950007</v>
      </c>
      <c r="J21" s="503">
        <f>'Table X12 Indices 2012=100'!J21*$J$11</f>
        <v>63.913392142270006</v>
      </c>
      <c r="K21" s="503">
        <f>'Table X12 Indices 2012=100'!K21*$K$11</f>
        <v>62.935928628559999</v>
      </c>
      <c r="L21" s="504">
        <f>'Table X12 Indices 2012=100'!L21*$L$11</f>
        <v>62.371541502600003</v>
      </c>
      <c r="M21" s="490"/>
      <c r="N21" s="628"/>
      <c r="O21" s="628"/>
      <c r="P21" s="628"/>
      <c r="Q21" s="629"/>
      <c r="R21" s="628"/>
      <c r="S21" s="628"/>
      <c r="T21" s="628"/>
      <c r="U21" s="628"/>
      <c r="V21" s="630"/>
      <c r="W21" s="630"/>
    </row>
    <row r="22" spans="1:23" ht="18" customHeight="1" x14ac:dyDescent="0.25">
      <c r="A22" s="431"/>
      <c r="B22" s="500">
        <v>7</v>
      </c>
      <c r="C22" s="501">
        <v>2008</v>
      </c>
      <c r="D22" s="502">
        <f>'Table X12 Indices 2012=100'!D22*$D$11</f>
        <v>63.614649677610004</v>
      </c>
      <c r="E22" s="503">
        <f>'Table X12 Indices 2012=100'!E22*$E$11</f>
        <v>62.609387431210003</v>
      </c>
      <c r="F22" s="503">
        <f>'Table X12 Indices 2012=100'!F22*$F$11</f>
        <v>64.426229504459997</v>
      </c>
      <c r="G22" s="503">
        <f>'Table X12 Indices 2012=100'!G22*$G$11</f>
        <v>62.709163346300002</v>
      </c>
      <c r="H22" s="503">
        <f>'Table X12 Indices 2012=100'!H22*$H$11</f>
        <v>64.48</v>
      </c>
      <c r="I22" s="503">
        <f>'Table X12 Indices 2012=100'!I22*$I$11</f>
        <v>64.23948220278001</v>
      </c>
      <c r="J22" s="503">
        <f>'Table X12 Indices 2012=100'!J22*$J$11</f>
        <v>64.635124299460003</v>
      </c>
      <c r="K22" s="503">
        <f>'Table X12 Indices 2012=100'!K22*$K$11</f>
        <v>63.828061637470007</v>
      </c>
      <c r="L22" s="504">
        <f>'Table X12 Indices 2012=100'!L22*$L$11</f>
        <v>63.162055336600005</v>
      </c>
      <c r="M22" s="490"/>
      <c r="N22" s="628"/>
      <c r="O22" s="628"/>
      <c r="P22" s="628"/>
      <c r="Q22" s="629"/>
      <c r="R22" s="628"/>
      <c r="S22" s="628"/>
      <c r="T22" s="628"/>
      <c r="U22" s="628"/>
      <c r="V22" s="630"/>
      <c r="W22" s="630"/>
    </row>
    <row r="23" spans="1:23" ht="18" customHeight="1" x14ac:dyDescent="0.25">
      <c r="A23" s="431"/>
      <c r="B23" s="500">
        <v>8</v>
      </c>
      <c r="C23" s="501">
        <v>2008</v>
      </c>
      <c r="D23" s="502">
        <f>'Table X12 Indices 2012=100'!D23*$D$11</f>
        <v>63.933121015169995</v>
      </c>
      <c r="E23" s="503">
        <f>'Table X12 Indices 2012=100'!E23*$E$11</f>
        <v>63.166268895020004</v>
      </c>
      <c r="F23" s="503">
        <f>'Table X12 Indices 2012=100'!F23*$F$11</f>
        <v>65.163934422449998</v>
      </c>
      <c r="G23" s="503">
        <f>'Table X12 Indices 2012=100'!G23*$G$11</f>
        <v>63.187250995699998</v>
      </c>
      <c r="H23" s="503">
        <f>'Table X12 Indices 2012=100'!H23*$H$11</f>
        <v>64.88</v>
      </c>
      <c r="I23" s="503">
        <f>'Table X12 Indices 2012=100'!I23*$I$11</f>
        <v>64.805825244869993</v>
      </c>
      <c r="J23" s="503">
        <f>'Table X12 Indices 2012=100'!J23*$J$11</f>
        <v>64.955894147099997</v>
      </c>
      <c r="K23" s="503">
        <f>'Table X12 Indices 2012=100'!K23*$K$11</f>
        <v>64.233576641520003</v>
      </c>
      <c r="L23" s="504">
        <f>'Table X12 Indices 2012=100'!L23*$L$11</f>
        <v>63.715415020399995</v>
      </c>
      <c r="M23" s="490"/>
      <c r="N23" s="628"/>
      <c r="O23" s="628"/>
      <c r="P23" s="628"/>
      <c r="Q23" s="629"/>
      <c r="R23" s="628"/>
      <c r="S23" s="628"/>
      <c r="T23" s="628"/>
      <c r="U23" s="628"/>
      <c r="V23" s="630"/>
      <c r="W23" s="630"/>
    </row>
    <row r="24" spans="1:23" ht="18" customHeight="1" x14ac:dyDescent="0.25">
      <c r="A24" s="431"/>
      <c r="B24" s="500">
        <v>9</v>
      </c>
      <c r="C24" s="501">
        <v>2008</v>
      </c>
      <c r="D24" s="502">
        <f>'Table X12 Indices 2012=100'!D24*$D$11</f>
        <v>64.41082802151</v>
      </c>
      <c r="E24" s="503">
        <f>'Table X12 Indices 2012=100'!E24*$E$11</f>
        <v>63.802704853660003</v>
      </c>
      <c r="F24" s="503">
        <f>'Table X12 Indices 2012=100'!F24*$F$11</f>
        <v>65.573770488000008</v>
      </c>
      <c r="G24" s="503">
        <f>'Table X12 Indices 2012=100'!G24*$G$11</f>
        <v>63.6653386451</v>
      </c>
      <c r="H24" s="503">
        <f>'Table X12 Indices 2012=100'!H24*$H$11</f>
        <v>65.2</v>
      </c>
      <c r="I24" s="503">
        <f>'Table X12 Indices 2012=100'!I24*$I$11</f>
        <v>65.372168286960004</v>
      </c>
      <c r="J24" s="503">
        <f>'Table X12 Indices 2012=100'!J24*$J$11</f>
        <v>65.196471532830003</v>
      </c>
      <c r="K24" s="503">
        <f>'Table X12 Indices 2012=100'!K24*$K$11</f>
        <v>64.557988644760002</v>
      </c>
      <c r="L24" s="504">
        <f>'Table X12 Indices 2012=100'!L24*$L$11</f>
        <v>64.031620554</v>
      </c>
      <c r="M24" s="490"/>
      <c r="N24" s="628"/>
      <c r="O24" s="628"/>
      <c r="P24" s="628"/>
      <c r="Q24" s="629"/>
      <c r="R24" s="628"/>
      <c r="S24" s="628"/>
      <c r="T24" s="628"/>
      <c r="U24" s="628"/>
      <c r="V24" s="630"/>
      <c r="W24" s="630"/>
    </row>
    <row r="25" spans="1:23" ht="18" customHeight="1" x14ac:dyDescent="0.25">
      <c r="A25" s="431"/>
      <c r="B25" s="500">
        <v>10</v>
      </c>
      <c r="C25" s="501">
        <v>2008</v>
      </c>
      <c r="D25" s="502">
        <f>'Table X12 Indices 2012=100'!D25*$D$11</f>
        <v>64.649681524680005</v>
      </c>
      <c r="E25" s="503">
        <f>'Table X12 Indices 2012=100'!E25*$E$11</f>
        <v>64.041368338149994</v>
      </c>
      <c r="F25" s="503">
        <f>'Table X12 Indices 2012=100'!F25*$F$11</f>
        <v>65.983606553550004</v>
      </c>
      <c r="G25" s="503">
        <f>'Table X12 Indices 2012=100'!G25*$G$11</f>
        <v>63.824701194899994</v>
      </c>
      <c r="H25" s="503">
        <f>'Table X12 Indices 2012=100'!H25*$H$11</f>
        <v>65.52000000000001</v>
      </c>
      <c r="I25" s="503">
        <f>'Table X12 Indices 2012=100'!I25*$I$11</f>
        <v>65.533980584700004</v>
      </c>
      <c r="J25" s="503">
        <f>'Table X12 Indices 2012=100'!J25*$J$11</f>
        <v>65.276663994740005</v>
      </c>
      <c r="K25" s="503">
        <f>'Table X12 Indices 2012=100'!K25*$K$11</f>
        <v>64.963503648810004</v>
      </c>
      <c r="L25" s="504">
        <f>'Table X12 Indices 2012=100'!L25*$L$11</f>
        <v>64.347826087599998</v>
      </c>
      <c r="M25" s="490"/>
      <c r="N25" s="628"/>
      <c r="O25" s="628"/>
      <c r="P25" s="628"/>
      <c r="Q25" s="629"/>
      <c r="R25" s="628"/>
      <c r="S25" s="628"/>
      <c r="T25" s="628"/>
      <c r="U25" s="628"/>
      <c r="V25" s="630"/>
      <c r="W25" s="630"/>
    </row>
    <row r="26" spans="1:23" ht="18" customHeight="1" x14ac:dyDescent="0.25">
      <c r="A26" s="431"/>
      <c r="B26" s="500">
        <v>11</v>
      </c>
      <c r="C26" s="501">
        <v>2008</v>
      </c>
      <c r="D26" s="502">
        <f>'Table X12 Indices 2012=100'!D26*$D$11</f>
        <v>64.729299359069998</v>
      </c>
      <c r="E26" s="503">
        <f>'Table X12 Indices 2012=100'!E26*$E$11</f>
        <v>64.041368338149994</v>
      </c>
      <c r="F26" s="503">
        <f>'Table X12 Indices 2012=100'!F26*$F$11</f>
        <v>65.983606553550004</v>
      </c>
      <c r="G26" s="503">
        <f>'Table X12 Indices 2012=100'!G26*$G$11</f>
        <v>63.904382469799998</v>
      </c>
      <c r="H26" s="503">
        <f>'Table X12 Indices 2012=100'!H26*$H$11</f>
        <v>65.52000000000001</v>
      </c>
      <c r="I26" s="503">
        <f>'Table X12 Indices 2012=100'!I26*$I$11</f>
        <v>65.614886733570003</v>
      </c>
      <c r="J26" s="503">
        <f>'Table X12 Indices 2012=100'!J26*$J$11</f>
        <v>65.356856456650007</v>
      </c>
      <c r="K26" s="503">
        <f>'Table X12 Indices 2012=100'!K26*$K$11</f>
        <v>65.044606649620007</v>
      </c>
      <c r="L26" s="504">
        <f>'Table X12 Indices 2012=100'!L26*$L$11</f>
        <v>64.584980237799996</v>
      </c>
      <c r="M26" s="490"/>
      <c r="N26" s="628"/>
      <c r="O26" s="628"/>
      <c r="P26" s="628"/>
      <c r="Q26" s="629"/>
      <c r="R26" s="628"/>
      <c r="S26" s="628"/>
      <c r="T26" s="628"/>
      <c r="U26" s="628"/>
      <c r="V26" s="630"/>
      <c r="W26" s="630"/>
    </row>
    <row r="27" spans="1:23" ht="18" customHeight="1" x14ac:dyDescent="0.25">
      <c r="A27" s="431"/>
      <c r="B27" s="515">
        <v>12</v>
      </c>
      <c r="C27" s="516">
        <v>2008</v>
      </c>
      <c r="D27" s="517">
        <f>'Table X12 Indices 2012=100'!D27*$D$11</f>
        <v>64.649681524680005</v>
      </c>
      <c r="E27" s="518">
        <f>'Table X12 Indices 2012=100'!E27*$E$11</f>
        <v>63.802704853660003</v>
      </c>
      <c r="F27" s="518">
        <f>'Table X12 Indices 2012=100'!F27*$F$11</f>
        <v>65.655737701109999</v>
      </c>
      <c r="G27" s="518">
        <f>'Table X12 Indices 2012=100'!G27*$G$11</f>
        <v>63.824701194899994</v>
      </c>
      <c r="H27" s="518">
        <f>'Table X12 Indices 2012=100'!H27*$H$11</f>
        <v>65.600000000000009</v>
      </c>
      <c r="I27" s="518">
        <f>'Table X12 Indices 2012=100'!I27*$I$11</f>
        <v>65.533980584700004</v>
      </c>
      <c r="J27" s="518">
        <f>'Table X12 Indices 2012=100'!J27*$J$11</f>
        <v>65.196471532830003</v>
      </c>
      <c r="K27" s="518">
        <f>'Table X12 Indices 2012=100'!K27*$K$11</f>
        <v>65.044606649620007</v>
      </c>
      <c r="L27" s="519">
        <f>'Table X12 Indices 2012=100'!L27*$L$11</f>
        <v>64.505928854399997</v>
      </c>
      <c r="M27" s="490"/>
      <c r="N27" s="628"/>
      <c r="O27" s="628"/>
      <c r="P27" s="628"/>
      <c r="Q27" s="629"/>
      <c r="R27" s="628"/>
      <c r="S27" s="628"/>
      <c r="T27" s="628"/>
      <c r="U27" s="628"/>
      <c r="V27" s="630"/>
      <c r="W27" s="630"/>
    </row>
    <row r="28" spans="1:23" ht="18" customHeight="1" x14ac:dyDescent="0.25">
      <c r="A28" s="431"/>
      <c r="B28" s="528">
        <v>1</v>
      </c>
      <c r="C28" s="529">
        <v>2009</v>
      </c>
      <c r="D28" s="530">
        <f>'Table X12 Indices 2012=100'!D28*$D$11</f>
        <v>64.729299359069998</v>
      </c>
      <c r="E28" s="531">
        <f>'Table X12 Indices 2012=100'!E28*$E$11</f>
        <v>64.359586317470004</v>
      </c>
      <c r="F28" s="531">
        <f>'Table X12 Indices 2012=100'!F28*$F$11</f>
        <v>65.737704914220004</v>
      </c>
      <c r="G28" s="531">
        <f>'Table X12 Indices 2012=100'!G28*$G$11</f>
        <v>64.143426294500003</v>
      </c>
      <c r="H28" s="531">
        <f>'Table X12 Indices 2012=100'!H28*$H$11</f>
        <v>66.239999999999995</v>
      </c>
      <c r="I28" s="531">
        <f>'Table X12 Indices 2012=100'!I28*$I$11</f>
        <v>65.614886733570003</v>
      </c>
      <c r="J28" s="531">
        <f>'Table X12 Indices 2012=100'!J28*$J$11</f>
        <v>65.356856456650007</v>
      </c>
      <c r="K28" s="531">
        <f>'Table X12 Indices 2012=100'!K28*$K$11</f>
        <v>65.693430656100006</v>
      </c>
      <c r="L28" s="532">
        <f>'Table X12 Indices 2012=100'!L28*$L$11</f>
        <v>64.901185771399994</v>
      </c>
      <c r="M28" s="490"/>
      <c r="N28" s="631"/>
      <c r="O28" s="631"/>
      <c r="P28" s="631"/>
      <c r="Q28" s="629"/>
      <c r="R28" s="631"/>
      <c r="S28" s="631"/>
      <c r="T28" s="631"/>
      <c r="U28" s="631"/>
      <c r="V28" s="629"/>
      <c r="W28" s="629"/>
    </row>
    <row r="29" spans="1:23" ht="18" customHeight="1" x14ac:dyDescent="0.25">
      <c r="A29" s="431"/>
      <c r="B29" s="500">
        <v>2</v>
      </c>
      <c r="C29" s="501">
        <v>2009</v>
      </c>
      <c r="D29" s="502">
        <f>'Table X12 Indices 2012=100'!D29*$D$11</f>
        <v>65.366242034189995</v>
      </c>
      <c r="E29" s="503">
        <f>'Table X12 Indices 2012=100'!E29*$E$11</f>
        <v>64.996022276109997</v>
      </c>
      <c r="F29" s="503">
        <f>'Table X12 Indices 2012=100'!F29*$F$11</f>
        <v>66.55737704532001</v>
      </c>
      <c r="G29" s="503">
        <f>'Table X12 Indices 2012=100'!G29*$G$11</f>
        <v>64.860557768600003</v>
      </c>
      <c r="H29" s="503">
        <f>'Table X12 Indices 2012=100'!H29*$H$11</f>
        <v>66.720000000000013</v>
      </c>
      <c r="I29" s="503">
        <f>'Table X12 Indices 2012=100'!I29*$I$11</f>
        <v>66.423948222269999</v>
      </c>
      <c r="J29" s="503">
        <f>'Table X12 Indices 2012=100'!J29*$J$11</f>
        <v>66.158781075749999</v>
      </c>
      <c r="K29" s="503">
        <f>'Table X12 Indices 2012=100'!K29*$K$11</f>
        <v>66.666666665820003</v>
      </c>
      <c r="L29" s="504">
        <f>'Table X12 Indices 2012=100'!L29*$L$11</f>
        <v>65.375494071800006</v>
      </c>
      <c r="M29" s="490"/>
      <c r="N29" s="631"/>
      <c r="O29" s="631"/>
      <c r="P29" s="631"/>
      <c r="Q29" s="629"/>
      <c r="R29" s="631"/>
      <c r="S29" s="631"/>
      <c r="T29" s="631"/>
      <c r="U29" s="631"/>
      <c r="V29" s="629"/>
      <c r="W29" s="629"/>
    </row>
    <row r="30" spans="1:23" ht="18" customHeight="1" x14ac:dyDescent="0.25">
      <c r="A30" s="431"/>
      <c r="B30" s="500">
        <v>3</v>
      </c>
      <c r="C30" s="501">
        <v>2009</v>
      </c>
      <c r="D30" s="502">
        <f>'Table X12 Indices 2012=100'!D30*$D$11</f>
        <v>66.32165604686999</v>
      </c>
      <c r="E30" s="503">
        <f>'Table X12 Indices 2012=100'!E30*$E$11</f>
        <v>65.791567224410002</v>
      </c>
      <c r="F30" s="503">
        <f>'Table X12 Indices 2012=100'!F30*$F$11</f>
        <v>67.295081963309997</v>
      </c>
      <c r="G30" s="503">
        <f>'Table X12 Indices 2012=100'!G30*$G$11</f>
        <v>65.6573705176</v>
      </c>
      <c r="H30" s="503">
        <f>'Table X12 Indices 2012=100'!H30*$H$11</f>
        <v>67.52000000000001</v>
      </c>
      <c r="I30" s="503">
        <f>'Table X12 Indices 2012=100'!I30*$I$11</f>
        <v>67.637540455319993</v>
      </c>
      <c r="J30" s="503">
        <f>'Table X12 Indices 2012=100'!J30*$J$11</f>
        <v>67.12109061867001</v>
      </c>
      <c r="K30" s="503">
        <f>'Table X12 Indices 2012=100'!K30*$K$11</f>
        <v>67.396593673110004</v>
      </c>
      <c r="L30" s="504">
        <f>'Table X12 Indices 2012=100'!L30*$L$11</f>
        <v>66.2450592892</v>
      </c>
      <c r="M30" s="490"/>
      <c r="N30" s="631"/>
      <c r="O30" s="631"/>
      <c r="P30" s="631"/>
      <c r="Q30" s="629"/>
      <c r="R30" s="631"/>
      <c r="S30" s="631"/>
      <c r="T30" s="631"/>
      <c r="U30" s="631"/>
      <c r="V30" s="629"/>
      <c r="W30" s="629"/>
    </row>
    <row r="31" spans="1:23" ht="18" customHeight="1" x14ac:dyDescent="0.25">
      <c r="A31" s="431"/>
      <c r="B31" s="500">
        <v>4</v>
      </c>
      <c r="C31" s="501">
        <v>2009</v>
      </c>
      <c r="D31" s="502">
        <f>'Table X12 Indices 2012=100'!D31*$D$11</f>
        <v>66.640127384430002</v>
      </c>
      <c r="E31" s="503">
        <f>'Table X12 Indices 2012=100'!E31*$E$11</f>
        <v>66.189339698560005</v>
      </c>
      <c r="F31" s="503">
        <f>'Table X12 Indices 2012=100'!F31*$F$11</f>
        <v>67.868852455080003</v>
      </c>
      <c r="G31" s="503">
        <f>'Table X12 Indices 2012=100'!G31*$G$11</f>
        <v>66.055776892099999</v>
      </c>
      <c r="H31" s="503">
        <f>'Table X12 Indices 2012=100'!H31*$H$11</f>
        <v>67.92</v>
      </c>
      <c r="I31" s="503">
        <f>'Table X12 Indices 2012=100'!I31*$I$11</f>
        <v>67.718446604190007</v>
      </c>
      <c r="J31" s="503">
        <f>'Table X12 Indices 2012=100'!J31*$J$11</f>
        <v>67.44186046630999</v>
      </c>
      <c r="K31" s="503">
        <f>'Table X12 Indices 2012=100'!K31*$K$11</f>
        <v>67.802108677159993</v>
      </c>
      <c r="L31" s="504">
        <f>'Table X12 Indices 2012=100'!L31*$L$11</f>
        <v>66.482213439399999</v>
      </c>
      <c r="M31" s="490"/>
      <c r="N31" s="631"/>
      <c r="O31" s="631"/>
      <c r="P31" s="631"/>
      <c r="Q31" s="629"/>
      <c r="R31" s="631"/>
      <c r="S31" s="631"/>
      <c r="T31" s="631"/>
      <c r="U31" s="631"/>
      <c r="V31" s="629"/>
      <c r="W31" s="629"/>
    </row>
    <row r="32" spans="1:23" ht="18" customHeight="1" x14ac:dyDescent="0.25">
      <c r="A32" s="431"/>
      <c r="B32" s="500">
        <v>5</v>
      </c>
      <c r="C32" s="501">
        <v>2009</v>
      </c>
      <c r="D32" s="502">
        <f>'Table X12 Indices 2012=100'!D32*$D$11</f>
        <v>66.878980887599994</v>
      </c>
      <c r="E32" s="503">
        <f>'Table X12 Indices 2012=100'!E32*$E$11</f>
        <v>66.348448688220003</v>
      </c>
      <c r="F32" s="503">
        <f>'Table X12 Indices 2012=100'!F32*$F$11</f>
        <v>67.950819668190007</v>
      </c>
      <c r="G32" s="503">
        <f>'Table X12 Indices 2012=100'!G32*$G$11</f>
        <v>66.215139441899993</v>
      </c>
      <c r="H32" s="503">
        <f>'Table X12 Indices 2012=100'!H32*$H$11</f>
        <v>68</v>
      </c>
      <c r="I32" s="503">
        <f>'Table X12 Indices 2012=100'!I32*$I$11</f>
        <v>67.961165050800005</v>
      </c>
      <c r="J32" s="503">
        <f>'Table X12 Indices 2012=100'!J32*$J$11</f>
        <v>67.68243785204001</v>
      </c>
      <c r="K32" s="503">
        <f>'Table X12 Indices 2012=100'!K32*$K$11</f>
        <v>68.045417679590003</v>
      </c>
      <c r="L32" s="504">
        <f>'Table X12 Indices 2012=100'!L32*$L$11</f>
        <v>66.719367589599997</v>
      </c>
      <c r="M32" s="490"/>
      <c r="N32" s="631"/>
      <c r="O32" s="631"/>
      <c r="P32" s="631"/>
      <c r="Q32" s="629"/>
      <c r="R32" s="631"/>
      <c r="S32" s="631"/>
      <c r="T32" s="631"/>
      <c r="U32" s="631"/>
      <c r="V32" s="629"/>
      <c r="W32" s="629"/>
    </row>
    <row r="33" spans="1:23" ht="18" customHeight="1" x14ac:dyDescent="0.25">
      <c r="A33" s="431"/>
      <c r="B33" s="500">
        <v>6</v>
      </c>
      <c r="C33" s="501">
        <v>2009</v>
      </c>
      <c r="D33" s="502">
        <f>'Table X12 Indices 2012=100'!D33*$D$11</f>
        <v>67.11783439077</v>
      </c>
      <c r="E33" s="503">
        <f>'Table X12 Indices 2012=100'!E33*$E$11</f>
        <v>66.587112172710007</v>
      </c>
      <c r="F33" s="503">
        <f>'Table X12 Indices 2012=100'!F33*$F$11</f>
        <v>68.278688520629998</v>
      </c>
      <c r="G33" s="503">
        <f>'Table X12 Indices 2012=100'!G33*$G$11</f>
        <v>66.454183266599998</v>
      </c>
      <c r="H33" s="503">
        <f>'Table X12 Indices 2012=100'!H33*$H$11</f>
        <v>68.239999999999995</v>
      </c>
      <c r="I33" s="503">
        <f>'Table X12 Indices 2012=100'!I33*$I$11</f>
        <v>68.042071199670005</v>
      </c>
      <c r="J33" s="503">
        <f>'Table X12 Indices 2012=100'!J33*$J$11</f>
        <v>68.003207699680004</v>
      </c>
      <c r="K33" s="503">
        <f>'Table X12 Indices 2012=100'!K33*$K$11</f>
        <v>68.045417679590003</v>
      </c>
      <c r="L33" s="504">
        <f>'Table X12 Indices 2012=100'!L33*$L$11</f>
        <v>66.719367589599997</v>
      </c>
      <c r="M33" s="490"/>
      <c r="N33" s="631"/>
      <c r="O33" s="631"/>
      <c r="P33" s="631"/>
      <c r="Q33" s="629"/>
      <c r="R33" s="631"/>
      <c r="S33" s="631"/>
      <c r="T33" s="631"/>
      <c r="U33" s="631"/>
      <c r="V33" s="629"/>
      <c r="W33" s="629"/>
    </row>
    <row r="34" spans="1:23" ht="18" customHeight="1" x14ac:dyDescent="0.25">
      <c r="A34" s="431"/>
      <c r="B34" s="500">
        <v>7</v>
      </c>
      <c r="C34" s="501">
        <v>2009</v>
      </c>
      <c r="D34" s="502">
        <f>'Table X12 Indices 2012=100'!D34*$D$11</f>
        <v>67.914012734669996</v>
      </c>
      <c r="E34" s="503">
        <f>'Table X12 Indices 2012=100'!E34*$E$11</f>
        <v>67.143993636520008</v>
      </c>
      <c r="F34" s="503">
        <f>'Table X12 Indices 2012=100'!F34*$F$11</f>
        <v>69.01639343862</v>
      </c>
      <c r="G34" s="503">
        <f>'Table X12 Indices 2012=100'!G34*$G$11</f>
        <v>67.171314740699998</v>
      </c>
      <c r="H34" s="503">
        <f>'Table X12 Indices 2012=100'!H34*$H$11</f>
        <v>68.720000000000013</v>
      </c>
      <c r="I34" s="503">
        <f>'Table X12 Indices 2012=100'!I34*$I$11</f>
        <v>68.770226539500001</v>
      </c>
      <c r="J34" s="503">
        <f>'Table X12 Indices 2012=100'!J34*$J$11</f>
        <v>68.805132318779997</v>
      </c>
      <c r="K34" s="503">
        <f>'Table X12 Indices 2012=100'!K34*$K$11</f>
        <v>68.775344686880004</v>
      </c>
      <c r="L34" s="504">
        <f>'Table X12 Indices 2012=100'!L34*$L$11</f>
        <v>67.035573123199995</v>
      </c>
      <c r="M34" s="490"/>
      <c r="N34" s="631"/>
      <c r="O34" s="631"/>
      <c r="P34" s="631"/>
      <c r="Q34" s="629"/>
      <c r="R34" s="631"/>
      <c r="S34" s="631"/>
      <c r="T34" s="631"/>
      <c r="U34" s="631"/>
      <c r="V34" s="629"/>
      <c r="W34" s="629"/>
    </row>
    <row r="35" spans="1:23" ht="18" customHeight="1" x14ac:dyDescent="0.25">
      <c r="A35" s="431"/>
      <c r="B35" s="500">
        <v>8</v>
      </c>
      <c r="C35" s="501">
        <v>2009</v>
      </c>
      <c r="D35" s="502">
        <f>'Table X12 Indices 2012=100'!D35*$D$11</f>
        <v>68.152866237839987</v>
      </c>
      <c r="E35" s="503">
        <f>'Table X12 Indices 2012=100'!E35*$E$11</f>
        <v>67.303102626179992</v>
      </c>
      <c r="F35" s="503">
        <f>'Table X12 Indices 2012=100'!F35*$F$11</f>
        <v>69.18032786484001</v>
      </c>
      <c r="G35" s="503">
        <f>'Table X12 Indices 2012=100'!G35*$G$11</f>
        <v>67.330677290500006</v>
      </c>
      <c r="H35" s="503">
        <f>'Table X12 Indices 2012=100'!H35*$H$11</f>
        <v>68.8</v>
      </c>
      <c r="I35" s="503">
        <f>'Table X12 Indices 2012=100'!I35*$I$11</f>
        <v>69.01294498611</v>
      </c>
      <c r="J35" s="503">
        <f>'Table X12 Indices 2012=100'!J35*$J$11</f>
        <v>69.045709704510003</v>
      </c>
      <c r="K35" s="503">
        <f>'Table X12 Indices 2012=100'!K35*$K$11</f>
        <v>69.01865368931</v>
      </c>
      <c r="L35" s="504">
        <f>'Table X12 Indices 2012=100'!L35*$L$11</f>
        <v>67.351778656799993</v>
      </c>
      <c r="M35" s="490"/>
      <c r="N35" s="631"/>
      <c r="O35" s="631"/>
      <c r="P35" s="631"/>
      <c r="Q35" s="629"/>
      <c r="R35" s="631"/>
      <c r="S35" s="631"/>
      <c r="T35" s="631"/>
      <c r="U35" s="631"/>
      <c r="V35" s="629"/>
      <c r="W35" s="629"/>
    </row>
    <row r="36" spans="1:23" ht="18" customHeight="1" x14ac:dyDescent="0.25">
      <c r="A36" s="431"/>
      <c r="B36" s="500">
        <v>9</v>
      </c>
      <c r="C36" s="501">
        <v>2009</v>
      </c>
      <c r="D36" s="502">
        <f>'Table X12 Indices 2012=100'!D36*$D$11</f>
        <v>68.4713375754</v>
      </c>
      <c r="E36" s="503">
        <f>'Table X12 Indices 2012=100'!E36*$E$11</f>
        <v>67.541766110670011</v>
      </c>
      <c r="F36" s="503">
        <f>'Table X12 Indices 2012=100'!F36*$F$11</f>
        <v>69.42622950417001</v>
      </c>
      <c r="G36" s="503">
        <f>'Table X12 Indices 2012=100'!G36*$G$11</f>
        <v>67.4900398403</v>
      </c>
      <c r="H36" s="503">
        <f>'Table X12 Indices 2012=100'!H36*$H$11</f>
        <v>68.960000000000008</v>
      </c>
      <c r="I36" s="503">
        <f>'Table X12 Indices 2012=100'!I36*$I$11</f>
        <v>69.093851134980014</v>
      </c>
      <c r="J36" s="503">
        <f>'Table X12 Indices 2012=100'!J36*$J$11</f>
        <v>69.206094628329993</v>
      </c>
      <c r="K36" s="503">
        <f>'Table X12 Indices 2012=100'!K36*$K$11</f>
        <v>69.26196269174001</v>
      </c>
      <c r="L36" s="504">
        <f>'Table X12 Indices 2012=100'!L36*$L$11</f>
        <v>67.351778656799993</v>
      </c>
      <c r="M36" s="490"/>
      <c r="N36" s="631"/>
      <c r="O36" s="631"/>
      <c r="P36" s="631"/>
      <c r="Q36" s="629"/>
      <c r="R36" s="631"/>
      <c r="S36" s="631"/>
      <c r="T36" s="631"/>
      <c r="U36" s="631"/>
      <c r="V36" s="629"/>
      <c r="W36" s="629"/>
    </row>
    <row r="37" spans="1:23" ht="18" customHeight="1" x14ac:dyDescent="0.25">
      <c r="A37" s="431"/>
      <c r="B37" s="500">
        <v>10</v>
      </c>
      <c r="C37" s="501">
        <v>2009</v>
      </c>
      <c r="D37" s="502">
        <f>'Table X12 Indices 2012=100'!D37*$D$11</f>
        <v>68.550955409789992</v>
      </c>
      <c r="E37" s="503">
        <f>'Table X12 Indices 2012=100'!E37*$E$11</f>
        <v>67.621320605500003</v>
      </c>
      <c r="F37" s="503">
        <f>'Table X12 Indices 2012=100'!F37*$F$11</f>
        <v>69.42622950417001</v>
      </c>
      <c r="G37" s="503">
        <f>'Table X12 Indices 2012=100'!G37*$G$11</f>
        <v>67.410358565399989</v>
      </c>
      <c r="H37" s="503">
        <f>'Table X12 Indices 2012=100'!H37*$H$11</f>
        <v>69.040000000000006</v>
      </c>
      <c r="I37" s="503">
        <f>'Table X12 Indices 2012=100'!I37*$I$11</f>
        <v>69.01294498611</v>
      </c>
      <c r="J37" s="503">
        <f>'Table X12 Indices 2012=100'!J37*$J$11</f>
        <v>69.206094628329993</v>
      </c>
      <c r="K37" s="503">
        <f>'Table X12 Indices 2012=100'!K37*$K$11</f>
        <v>69.343065692549999</v>
      </c>
      <c r="L37" s="504">
        <f>'Table X12 Indices 2012=100'!L37*$L$11</f>
        <v>67.351778656799993</v>
      </c>
      <c r="M37" s="490"/>
      <c r="N37" s="631"/>
      <c r="O37" s="631"/>
      <c r="P37" s="631"/>
      <c r="Q37" s="629"/>
      <c r="R37" s="631"/>
      <c r="S37" s="631"/>
      <c r="T37" s="631"/>
      <c r="U37" s="631"/>
      <c r="V37" s="629"/>
      <c r="W37" s="629"/>
    </row>
    <row r="38" spans="1:23" ht="18" customHeight="1" x14ac:dyDescent="0.25">
      <c r="A38" s="431"/>
      <c r="B38" s="500">
        <v>11</v>
      </c>
      <c r="C38" s="501">
        <v>2009</v>
      </c>
      <c r="D38" s="502">
        <f>'Table X12 Indices 2012=100'!D38*$D$11</f>
        <v>68.550955409789992</v>
      </c>
      <c r="E38" s="503">
        <f>'Table X12 Indices 2012=100'!E38*$E$11</f>
        <v>67.541766110670011</v>
      </c>
      <c r="F38" s="503">
        <f>'Table X12 Indices 2012=100'!F38*$F$11</f>
        <v>69.42622950417001</v>
      </c>
      <c r="G38" s="503">
        <f>'Table X12 Indices 2012=100'!G38*$G$11</f>
        <v>67.4900398403</v>
      </c>
      <c r="H38" s="503">
        <f>'Table X12 Indices 2012=100'!H38*$H$11</f>
        <v>68.960000000000008</v>
      </c>
      <c r="I38" s="503">
        <f>'Table X12 Indices 2012=100'!I38*$I$11</f>
        <v>68.93203883724</v>
      </c>
      <c r="J38" s="503">
        <f>'Table X12 Indices 2012=100'!J38*$J$11</f>
        <v>69.206094628329993</v>
      </c>
      <c r="K38" s="503">
        <f>'Table X12 Indices 2012=100'!K38*$K$11</f>
        <v>69.343065692549999</v>
      </c>
      <c r="L38" s="504">
        <f>'Table X12 Indices 2012=100'!L38*$L$11</f>
        <v>67.588932806999992</v>
      </c>
      <c r="M38" s="490"/>
      <c r="N38" s="631"/>
      <c r="O38" s="631"/>
      <c r="P38" s="631"/>
      <c r="Q38" s="629"/>
      <c r="R38" s="631"/>
      <c r="S38" s="631"/>
      <c r="T38" s="631"/>
      <c r="U38" s="631"/>
      <c r="V38" s="629"/>
      <c r="W38" s="629"/>
    </row>
    <row r="39" spans="1:23" ht="18" customHeight="1" x14ac:dyDescent="0.25">
      <c r="A39" s="431"/>
      <c r="B39" s="515">
        <v>12</v>
      </c>
      <c r="C39" s="516">
        <v>2009</v>
      </c>
      <c r="D39" s="517">
        <f>'Table X12 Indices 2012=100'!D39*$D$11</f>
        <v>68.949044581739997</v>
      </c>
      <c r="E39" s="518">
        <f>'Table X12 Indices 2012=100'!E39*$E$11</f>
        <v>67.700875100329995</v>
      </c>
      <c r="F39" s="518">
        <f>'Table X12 Indices 2012=100'!F39*$F$11</f>
        <v>69.508196717280001</v>
      </c>
      <c r="G39" s="518">
        <f>'Table X12 Indices 2012=100'!G39*$G$11</f>
        <v>67.649402390100008</v>
      </c>
      <c r="H39" s="518">
        <f>'Table X12 Indices 2012=100'!H39*$H$11</f>
        <v>69.2</v>
      </c>
      <c r="I39" s="518">
        <f>'Table X12 Indices 2012=100'!I39*$I$11</f>
        <v>69.093851134980014</v>
      </c>
      <c r="J39" s="518">
        <f>'Table X12 Indices 2012=100'!J39*$J$11</f>
        <v>69.286287090240009</v>
      </c>
      <c r="K39" s="518">
        <f>'Table X12 Indices 2012=100'!K39*$K$11</f>
        <v>69.343065692549999</v>
      </c>
      <c r="L39" s="519">
        <f>'Table X12 Indices 2012=100'!L39*$L$11</f>
        <v>67.588932806999992</v>
      </c>
      <c r="M39" s="490"/>
      <c r="N39" s="631"/>
      <c r="O39" s="631"/>
      <c r="P39" s="631"/>
      <c r="Q39" s="629"/>
      <c r="R39" s="631"/>
      <c r="S39" s="631"/>
      <c r="T39" s="631"/>
      <c r="U39" s="631"/>
      <c r="V39" s="629"/>
      <c r="W39" s="629"/>
    </row>
    <row r="40" spans="1:23" ht="18" customHeight="1" x14ac:dyDescent="0.25">
      <c r="A40" s="431"/>
      <c r="B40" s="528">
        <v>1</v>
      </c>
      <c r="C40" s="529">
        <v>2010</v>
      </c>
      <c r="D40" s="530">
        <f>'Table X12 Indices 2012=100'!D40*$D$11</f>
        <v>69.108280250519996</v>
      </c>
      <c r="E40" s="531">
        <f>'Table X12 Indices 2012=100'!E40*$E$11</f>
        <v>67.780429595160001</v>
      </c>
      <c r="F40" s="531">
        <f>'Table X12 Indices 2012=100'!F40*$F$11</f>
        <v>69.42622950417001</v>
      </c>
      <c r="G40" s="531">
        <f>'Table X12 Indices 2012=100'!G40*$G$11</f>
        <v>67.808764939900001</v>
      </c>
      <c r="H40" s="531">
        <f>'Table X12 Indices 2012=100'!H40*$H$11</f>
        <v>69.44</v>
      </c>
      <c r="I40" s="531">
        <f>'Table X12 Indices 2012=100'!I40*$I$11</f>
        <v>69.255663432719999</v>
      </c>
      <c r="J40" s="531">
        <f>'Table X12 Indices 2012=100'!J40*$J$11</f>
        <v>69.526864475970001</v>
      </c>
      <c r="K40" s="531">
        <f>'Table X12 Indices 2012=100'!K40*$K$11</f>
        <v>69.586374694979995</v>
      </c>
      <c r="L40" s="532">
        <f>'Table X12 Indices 2012=100'!L40*$L$11</f>
        <v>67.747035573800005</v>
      </c>
      <c r="M40" s="490"/>
      <c r="N40" s="631"/>
      <c r="O40" s="631"/>
      <c r="P40" s="631"/>
      <c r="Q40" s="629"/>
      <c r="R40" s="631"/>
      <c r="S40" s="631"/>
      <c r="T40" s="631"/>
      <c r="U40" s="631"/>
      <c r="V40" s="629"/>
      <c r="W40" s="629"/>
    </row>
    <row r="41" spans="1:23" ht="18" customHeight="1" x14ac:dyDescent="0.25">
      <c r="A41" s="431"/>
      <c r="B41" s="500">
        <v>2</v>
      </c>
      <c r="C41" s="501">
        <v>2010</v>
      </c>
      <c r="D41" s="502">
        <f>'Table X12 Indices 2012=100'!D41*$D$11</f>
        <v>69.347133753689988</v>
      </c>
      <c r="E41" s="503">
        <f>'Table X12 Indices 2012=100'!E41*$E$11</f>
        <v>68.098647574479998</v>
      </c>
      <c r="F41" s="503">
        <f>'Table X12 Indices 2012=100'!F41*$F$11</f>
        <v>69.754098356610001</v>
      </c>
      <c r="G41" s="503">
        <f>'Table X12 Indices 2012=100'!G41*$G$11</f>
        <v>68.286852589299997</v>
      </c>
      <c r="H41" s="503">
        <f>'Table X12 Indices 2012=100'!H41*$H$11</f>
        <v>69.679999999999993</v>
      </c>
      <c r="I41" s="503">
        <f>'Table X12 Indices 2012=100'!I41*$I$11</f>
        <v>69.822006474809996</v>
      </c>
      <c r="J41" s="503">
        <f>'Table X12 Indices 2012=100'!J41*$J$11</f>
        <v>70.008019247429999</v>
      </c>
      <c r="K41" s="503">
        <f>'Table X12 Indices 2012=100'!K41*$K$11</f>
        <v>69.991889699029997</v>
      </c>
      <c r="L41" s="504">
        <f>'Table X12 Indices 2012=100'!L41*$L$11</f>
        <v>68.142292490800003</v>
      </c>
      <c r="M41" s="490"/>
      <c r="N41" s="631"/>
      <c r="O41" s="631"/>
      <c r="P41" s="631"/>
      <c r="Q41" s="629"/>
      <c r="R41" s="631"/>
      <c r="S41" s="631"/>
      <c r="T41" s="631"/>
      <c r="U41" s="631"/>
      <c r="V41" s="629"/>
      <c r="W41" s="629"/>
    </row>
    <row r="42" spans="1:23" ht="18" customHeight="1" x14ac:dyDescent="0.25">
      <c r="A42" s="431"/>
      <c r="B42" s="500">
        <v>3</v>
      </c>
      <c r="C42" s="501">
        <v>2010</v>
      </c>
      <c r="D42" s="502">
        <f>'Table X12 Indices 2012=100'!D42*$D$11</f>
        <v>70.143312097589998</v>
      </c>
      <c r="E42" s="503">
        <f>'Table X12 Indices 2012=100'!E42*$E$11</f>
        <v>68.655529038289998</v>
      </c>
      <c r="F42" s="503">
        <f>'Table X12 Indices 2012=100'!F42*$F$11</f>
        <v>70.245901635270002</v>
      </c>
      <c r="G42" s="503">
        <f>'Table X12 Indices 2012=100'!G42*$G$11</f>
        <v>68.764940238699992</v>
      </c>
      <c r="H42" s="503">
        <f>'Table X12 Indices 2012=100'!H42*$H$11</f>
        <v>70.160000000000011</v>
      </c>
      <c r="I42" s="503">
        <f>'Table X12 Indices 2012=100'!I42*$I$11</f>
        <v>70.307443368030007</v>
      </c>
      <c r="J42" s="503">
        <f>'Table X12 Indices 2012=100'!J42*$J$11</f>
        <v>70.649558942710001</v>
      </c>
      <c r="K42" s="503">
        <f>'Table X12 Indices 2012=100'!K42*$K$11</f>
        <v>70.478507703890003</v>
      </c>
      <c r="L42" s="504">
        <f>'Table X12 Indices 2012=100'!L42*$L$11</f>
        <v>68.853754941399998</v>
      </c>
      <c r="M42" s="490"/>
      <c r="N42" s="631"/>
      <c r="O42" s="631"/>
      <c r="P42" s="631"/>
      <c r="Q42" s="629"/>
      <c r="R42" s="631"/>
      <c r="S42" s="631"/>
      <c r="T42" s="631"/>
      <c r="U42" s="631"/>
      <c r="V42" s="629"/>
      <c r="W42" s="629"/>
    </row>
    <row r="43" spans="1:23" ht="18" customHeight="1" x14ac:dyDescent="0.25">
      <c r="A43" s="431"/>
      <c r="B43" s="500">
        <v>4</v>
      </c>
      <c r="C43" s="501">
        <v>2010</v>
      </c>
      <c r="D43" s="502">
        <f>'Table X12 Indices 2012=100'!D43*$D$11</f>
        <v>70.302547766369997</v>
      </c>
      <c r="E43" s="503">
        <f>'Table X12 Indices 2012=100'!E43*$E$11</f>
        <v>68.814638027949997</v>
      </c>
      <c r="F43" s="503">
        <f>'Table X12 Indices 2012=100'!F43*$F$11</f>
        <v>70.409836061490012</v>
      </c>
      <c r="G43" s="503">
        <f>'Table X12 Indices 2012=100'!G43*$G$11</f>
        <v>69.003984063399997</v>
      </c>
      <c r="H43" s="503">
        <f>'Table X12 Indices 2012=100'!H43*$H$11</f>
        <v>70.239999999999995</v>
      </c>
      <c r="I43" s="503">
        <f>'Table X12 Indices 2012=100'!I43*$I$11</f>
        <v>70.388349516900007</v>
      </c>
      <c r="J43" s="503">
        <f>'Table X12 Indices 2012=100'!J43*$J$11</f>
        <v>70.729751404620004</v>
      </c>
      <c r="K43" s="503">
        <f>'Table X12 Indices 2012=100'!K43*$K$11</f>
        <v>70.559610704700006</v>
      </c>
      <c r="L43" s="504">
        <f>'Table X12 Indices 2012=100'!L43*$L$11</f>
        <v>68.774703557999999</v>
      </c>
      <c r="M43" s="490"/>
      <c r="N43" s="631"/>
      <c r="O43" s="631"/>
      <c r="P43" s="631"/>
      <c r="Q43" s="629"/>
      <c r="R43" s="631"/>
      <c r="S43" s="631"/>
      <c r="T43" s="631"/>
      <c r="U43" s="631"/>
      <c r="V43" s="629"/>
      <c r="W43" s="629"/>
    </row>
    <row r="44" spans="1:23" ht="18" customHeight="1" x14ac:dyDescent="0.25">
      <c r="A44" s="431"/>
      <c r="B44" s="500">
        <v>5</v>
      </c>
      <c r="C44" s="501">
        <v>2010</v>
      </c>
      <c r="D44" s="502">
        <f>'Table X12 Indices 2012=100'!D44*$D$11</f>
        <v>70.382165600760004</v>
      </c>
      <c r="E44" s="503">
        <f>'Table X12 Indices 2012=100'!E44*$E$11</f>
        <v>68.973747017610009</v>
      </c>
      <c r="F44" s="503">
        <f>'Table X12 Indices 2012=100'!F44*$F$11</f>
        <v>70.655737700820012</v>
      </c>
      <c r="G44" s="503">
        <f>'Table X12 Indices 2012=100'!G44*$G$11</f>
        <v>69.083665338299994</v>
      </c>
      <c r="H44" s="503">
        <f>'Table X12 Indices 2012=100'!H44*$H$11</f>
        <v>70.400000000000006</v>
      </c>
      <c r="I44" s="503">
        <f>'Table X12 Indices 2012=100'!I44*$I$11</f>
        <v>70.631067963510006</v>
      </c>
      <c r="J44" s="503">
        <f>'Table X12 Indices 2012=100'!J44*$J$11</f>
        <v>70.809943866530006</v>
      </c>
      <c r="K44" s="503">
        <f>'Table X12 Indices 2012=100'!K44*$K$11</f>
        <v>70.721816706319999</v>
      </c>
      <c r="L44" s="504">
        <f>'Table X12 Indices 2012=100'!L44*$L$11</f>
        <v>68.774703557999999</v>
      </c>
      <c r="M44" s="490"/>
      <c r="N44" s="631"/>
      <c r="O44" s="631"/>
      <c r="P44" s="631"/>
      <c r="Q44" s="629"/>
      <c r="R44" s="631"/>
      <c r="S44" s="631"/>
      <c r="T44" s="631"/>
      <c r="U44" s="631"/>
      <c r="V44" s="629"/>
      <c r="W44" s="629"/>
    </row>
    <row r="45" spans="1:23" ht="18" customHeight="1" x14ac:dyDescent="0.25">
      <c r="A45" s="431"/>
      <c r="B45" s="500">
        <v>6</v>
      </c>
      <c r="C45" s="501">
        <v>2010</v>
      </c>
      <c r="D45" s="502">
        <f>'Table X12 Indices 2012=100'!D45*$D$11</f>
        <v>70.302547766369997</v>
      </c>
      <c r="E45" s="503">
        <f>'Table X12 Indices 2012=100'!E45*$E$11</f>
        <v>69.053301512440001</v>
      </c>
      <c r="F45" s="503">
        <f>'Table X12 Indices 2012=100'!F45*$F$11</f>
        <v>70.655737700820012</v>
      </c>
      <c r="G45" s="503">
        <f>'Table X12 Indices 2012=100'!G45*$G$11</f>
        <v>69.083665338299994</v>
      </c>
      <c r="H45" s="503">
        <f>'Table X12 Indices 2012=100'!H45*$H$11</f>
        <v>70.400000000000006</v>
      </c>
      <c r="I45" s="503">
        <f>'Table X12 Indices 2012=100'!I45*$I$11</f>
        <v>70.550161814640006</v>
      </c>
      <c r="J45" s="503">
        <f>'Table X12 Indices 2012=100'!J45*$J$11</f>
        <v>70.809943866530006</v>
      </c>
      <c r="K45" s="503">
        <f>'Table X12 Indices 2012=100'!K45*$K$11</f>
        <v>70.640713705509995</v>
      </c>
      <c r="L45" s="504">
        <f>'Table X12 Indices 2012=100'!L45*$L$11</f>
        <v>68.774703557999999</v>
      </c>
      <c r="M45" s="490"/>
      <c r="N45" s="631"/>
      <c r="O45" s="631"/>
      <c r="P45" s="631"/>
      <c r="Q45" s="629"/>
      <c r="R45" s="631"/>
      <c r="S45" s="631"/>
      <c r="T45" s="631"/>
      <c r="U45" s="631"/>
      <c r="V45" s="629"/>
      <c r="W45" s="629"/>
    </row>
    <row r="46" spans="1:23" ht="18" customHeight="1" x14ac:dyDescent="0.25">
      <c r="A46" s="431"/>
      <c r="B46" s="500">
        <v>7</v>
      </c>
      <c r="C46" s="501">
        <v>2010</v>
      </c>
      <c r="D46" s="502">
        <f>'Table X12 Indices 2012=100'!D46*$D$11</f>
        <v>70.621019103929996</v>
      </c>
      <c r="E46" s="503">
        <f>'Table X12 Indices 2012=100'!E46*$E$11</f>
        <v>69.371519491759997</v>
      </c>
      <c r="F46" s="503">
        <f>'Table X12 Indices 2012=100'!F46*$F$11</f>
        <v>71.147540979479999</v>
      </c>
      <c r="G46" s="503">
        <f>'Table X12 Indices 2012=100'!G46*$G$11</f>
        <v>69.482071712800007</v>
      </c>
      <c r="H46" s="503">
        <f>'Table X12 Indices 2012=100'!H46*$H$11</f>
        <v>70.720000000000013</v>
      </c>
      <c r="I46" s="503">
        <f>'Table X12 Indices 2012=100'!I46*$I$11</f>
        <v>70.873786410120005</v>
      </c>
      <c r="J46" s="503">
        <f>'Table X12 Indices 2012=100'!J46*$J$11</f>
        <v>71.371291099900006</v>
      </c>
      <c r="K46" s="503">
        <f>'Table X12 Indices 2012=100'!K46*$K$11</f>
        <v>71.046228709559998</v>
      </c>
      <c r="L46" s="504">
        <f>'Table X12 Indices 2012=100'!L46*$L$11</f>
        <v>69.328063241799995</v>
      </c>
      <c r="M46" s="490"/>
      <c r="N46" s="631"/>
      <c r="O46" s="631"/>
      <c r="P46" s="631"/>
      <c r="Q46" s="629"/>
      <c r="R46" s="631"/>
      <c r="S46" s="631"/>
      <c r="T46" s="631"/>
      <c r="U46" s="631"/>
      <c r="V46" s="629"/>
      <c r="W46" s="629"/>
    </row>
    <row r="47" spans="1:23" ht="18" customHeight="1" x14ac:dyDescent="0.25">
      <c r="A47" s="431"/>
      <c r="B47" s="500">
        <v>8</v>
      </c>
      <c r="C47" s="501">
        <v>2010</v>
      </c>
      <c r="D47" s="502">
        <f>'Table X12 Indices 2012=100'!D47*$D$11</f>
        <v>70.700636938320002</v>
      </c>
      <c r="E47" s="503">
        <f>'Table X12 Indices 2012=100'!E47*$E$11</f>
        <v>69.76929196591</v>
      </c>
      <c r="F47" s="503">
        <f>'Table X12 Indices 2012=100'!F47*$F$11</f>
        <v>71.147540979479999</v>
      </c>
      <c r="G47" s="503">
        <f>'Table X12 Indices 2012=100'!G47*$G$11</f>
        <v>69.721115537499998</v>
      </c>
      <c r="H47" s="503">
        <f>'Table X12 Indices 2012=100'!H47*$H$11</f>
        <v>70.720000000000013</v>
      </c>
      <c r="I47" s="503">
        <f>'Table X12 Indices 2012=100'!I47*$I$11</f>
        <v>70.954692558990004</v>
      </c>
      <c r="J47" s="503">
        <f>'Table X12 Indices 2012=100'!J47*$J$11</f>
        <v>71.371291099900006</v>
      </c>
      <c r="K47" s="503">
        <f>'Table X12 Indices 2012=100'!K47*$K$11</f>
        <v>71.208434711180004</v>
      </c>
      <c r="L47" s="504">
        <f>'Table X12 Indices 2012=100'!L47*$L$11</f>
        <v>69.407114625199995</v>
      </c>
      <c r="M47" s="490"/>
      <c r="N47" s="631"/>
      <c r="O47" s="631"/>
      <c r="P47" s="631"/>
      <c r="Q47" s="629"/>
      <c r="R47" s="631"/>
      <c r="S47" s="631"/>
      <c r="T47" s="631"/>
      <c r="U47" s="631"/>
      <c r="V47" s="629"/>
      <c r="W47" s="629"/>
    </row>
    <row r="48" spans="1:23" ht="18" customHeight="1" x14ac:dyDescent="0.25">
      <c r="A48" s="431"/>
      <c r="B48" s="500">
        <v>9</v>
      </c>
      <c r="C48" s="501">
        <v>2010</v>
      </c>
      <c r="D48" s="502">
        <f>'Table X12 Indices 2012=100'!D48*$D$11</f>
        <v>70.780254772710009</v>
      </c>
      <c r="E48" s="503">
        <f>'Table X12 Indices 2012=100'!E48*$E$11</f>
        <v>70.007955450400004</v>
      </c>
      <c r="F48" s="503">
        <f>'Table X12 Indices 2012=100'!F48*$F$11</f>
        <v>71.393442618809999</v>
      </c>
      <c r="G48" s="503">
        <f>'Table X12 Indices 2012=100'!G48*$G$11</f>
        <v>70.039840637099999</v>
      </c>
      <c r="H48" s="503">
        <f>'Table X12 Indices 2012=100'!H48*$H$11</f>
        <v>70.720000000000013</v>
      </c>
      <c r="I48" s="503">
        <f>'Table X12 Indices 2012=100'!I48*$I$11</f>
        <v>71.035598707860004</v>
      </c>
      <c r="J48" s="503">
        <f>'Table X12 Indices 2012=100'!J48*$J$11</f>
        <v>71.371291099900006</v>
      </c>
      <c r="K48" s="503">
        <f>'Table X12 Indices 2012=100'!K48*$K$11</f>
        <v>71.370640712799997</v>
      </c>
      <c r="L48" s="504">
        <f>'Table X12 Indices 2012=100'!L48*$L$11</f>
        <v>69.328063241799995</v>
      </c>
      <c r="M48" s="490"/>
      <c r="N48" s="631"/>
      <c r="O48" s="631"/>
      <c r="P48" s="631"/>
      <c r="Q48" s="629"/>
      <c r="R48" s="631"/>
      <c r="S48" s="631"/>
      <c r="T48" s="631"/>
      <c r="U48" s="631"/>
      <c r="V48" s="629"/>
      <c r="W48" s="629"/>
    </row>
    <row r="49" spans="1:23" ht="18" customHeight="1" x14ac:dyDescent="0.25">
      <c r="A49" s="431"/>
      <c r="B49" s="500">
        <v>10</v>
      </c>
      <c r="C49" s="501">
        <v>2010</v>
      </c>
      <c r="D49" s="502">
        <f>'Table X12 Indices 2012=100'!D49*$D$11</f>
        <v>70.939490441489994</v>
      </c>
      <c r="E49" s="503">
        <f>'Table X12 Indices 2012=100'!E49*$E$11</f>
        <v>70.087509945229996</v>
      </c>
      <c r="F49" s="503">
        <f>'Table X12 Indices 2012=100'!F49*$F$11</f>
        <v>71.475409831920004</v>
      </c>
      <c r="G49" s="503">
        <f>'Table X12 Indices 2012=100'!G49*$G$11</f>
        <v>70.278884461800004</v>
      </c>
      <c r="H49" s="503">
        <f>'Table X12 Indices 2012=100'!H49*$H$11</f>
        <v>70.8</v>
      </c>
      <c r="I49" s="503">
        <f>'Table X12 Indices 2012=100'!I49*$I$11</f>
        <v>71.035598707860004</v>
      </c>
      <c r="J49" s="503">
        <f>'Table X12 Indices 2012=100'!J49*$J$11</f>
        <v>71.53167602372001</v>
      </c>
      <c r="K49" s="503">
        <f>'Table X12 Indices 2012=100'!K49*$K$11</f>
        <v>71.613949715230007</v>
      </c>
      <c r="L49" s="504">
        <f>'Table X12 Indices 2012=100'!L49*$L$11</f>
        <v>69.723320158799993</v>
      </c>
      <c r="M49" s="490"/>
      <c r="N49" s="631"/>
      <c r="O49" s="631"/>
      <c r="P49" s="631"/>
      <c r="Q49" s="629"/>
      <c r="R49" s="631"/>
      <c r="S49" s="631"/>
      <c r="T49" s="631"/>
      <c r="U49" s="631"/>
      <c r="V49" s="629"/>
      <c r="W49" s="629"/>
    </row>
    <row r="50" spans="1:23" ht="18" customHeight="1" x14ac:dyDescent="0.25">
      <c r="A50" s="431"/>
      <c r="B50" s="500">
        <v>11</v>
      </c>
      <c r="C50" s="501">
        <v>2010</v>
      </c>
      <c r="D50" s="502">
        <f>'Table X12 Indices 2012=100'!D50*$D$11</f>
        <v>71.019108275880001</v>
      </c>
      <c r="E50" s="503">
        <f>'Table X12 Indices 2012=100'!E50*$E$11</f>
        <v>70.087509945229996</v>
      </c>
      <c r="F50" s="503">
        <f>'Table X12 Indices 2012=100'!F50*$F$11</f>
        <v>71.475409831920004</v>
      </c>
      <c r="G50" s="503">
        <f>'Table X12 Indices 2012=100'!G50*$G$11</f>
        <v>70.278884461800004</v>
      </c>
      <c r="H50" s="503">
        <f>'Table X12 Indices 2012=100'!H50*$H$11</f>
        <v>70.960000000000008</v>
      </c>
      <c r="I50" s="503">
        <f>'Table X12 Indices 2012=100'!I50*$I$11</f>
        <v>71.278317154470002</v>
      </c>
      <c r="J50" s="503">
        <f>'Table X12 Indices 2012=100'!J50*$J$11</f>
        <v>71.69206094754</v>
      </c>
      <c r="K50" s="503">
        <f>'Table X12 Indices 2012=100'!K50*$K$11</f>
        <v>71.532846714420003</v>
      </c>
      <c r="L50" s="504">
        <f>'Table X12 Indices 2012=100'!L50*$L$11</f>
        <v>69.565217391999994</v>
      </c>
      <c r="M50" s="490"/>
      <c r="N50" s="631"/>
      <c r="O50" s="631"/>
      <c r="P50" s="631"/>
      <c r="Q50" s="629"/>
      <c r="R50" s="631"/>
      <c r="S50" s="631"/>
      <c r="T50" s="631"/>
      <c r="U50" s="631"/>
      <c r="V50" s="629"/>
      <c r="W50" s="629"/>
    </row>
    <row r="51" spans="1:23" ht="18" customHeight="1" x14ac:dyDescent="0.25">
      <c r="A51" s="431"/>
      <c r="B51" s="515">
        <v>12</v>
      </c>
      <c r="C51" s="516">
        <v>2010</v>
      </c>
      <c r="D51" s="517">
        <f>'Table X12 Indices 2012=100'!D51*$D$11</f>
        <v>71.17834394466</v>
      </c>
      <c r="E51" s="518">
        <f>'Table X12 Indices 2012=100'!E51*$E$11</f>
        <v>70.167064440060003</v>
      </c>
      <c r="F51" s="518">
        <f>'Table X12 Indices 2012=100'!F51*$F$11</f>
        <v>71.393442618809999</v>
      </c>
      <c r="G51" s="518">
        <f>'Table X12 Indices 2012=100'!G51*$G$11</f>
        <v>70.358565736700001</v>
      </c>
      <c r="H51" s="518">
        <f>'Table X12 Indices 2012=100'!H51*$H$11</f>
        <v>71.040000000000006</v>
      </c>
      <c r="I51" s="518">
        <f>'Table X12 Indices 2012=100'!I51*$I$11</f>
        <v>71.278317154470002</v>
      </c>
      <c r="J51" s="518">
        <f>'Table X12 Indices 2012=100'!J51*$J$11</f>
        <v>71.85244587135999</v>
      </c>
      <c r="K51" s="518">
        <f>'Table X12 Indices 2012=100'!K51*$K$11</f>
        <v>71.613949715230007</v>
      </c>
      <c r="L51" s="519">
        <f>'Table X12 Indices 2012=100'!L51*$L$11</f>
        <v>69.960474308999991</v>
      </c>
      <c r="M51" s="490"/>
      <c r="N51" s="631"/>
      <c r="O51" s="631"/>
      <c r="P51" s="631"/>
      <c r="Q51" s="629"/>
      <c r="R51" s="631"/>
      <c r="S51" s="631"/>
      <c r="T51" s="631"/>
      <c r="U51" s="631"/>
      <c r="V51" s="629"/>
      <c r="W51" s="629"/>
    </row>
    <row r="52" spans="1:23" ht="18" customHeight="1" x14ac:dyDescent="0.25">
      <c r="A52" s="431"/>
      <c r="B52" s="528">
        <v>1</v>
      </c>
      <c r="C52" s="529">
        <v>2011</v>
      </c>
      <c r="D52" s="530">
        <f>'Table X12 Indices 2012=100'!D52*$D$11</f>
        <v>71.496815282219998</v>
      </c>
      <c r="E52" s="531">
        <f>'Table X12 Indices 2012=100'!E52*$E$11</f>
        <v>70.723945903870003</v>
      </c>
      <c r="F52" s="531">
        <f>'Table X12 Indices 2012=100'!F52*$F$11</f>
        <v>72.04918032369001</v>
      </c>
      <c r="G52" s="531">
        <f>'Table X12 Indices 2012=100'!G52*$G$11</f>
        <v>70.916334660999993</v>
      </c>
      <c r="H52" s="531">
        <f>'Table X12 Indices 2012=100'!H52*$H$11</f>
        <v>71.44</v>
      </c>
      <c r="I52" s="531">
        <f>'Table X12 Indices 2012=100'!I52*$I$11</f>
        <v>71.76375404769</v>
      </c>
      <c r="J52" s="531">
        <f>'Table X12 Indices 2012=100'!J52*$J$11</f>
        <v>72.09302325709001</v>
      </c>
      <c r="K52" s="531">
        <f>'Table X12 Indices 2012=100'!K52*$K$11</f>
        <v>72.019464719279995</v>
      </c>
      <c r="L52" s="532">
        <f>'Table X12 Indices 2012=100'!L52*$L$11</f>
        <v>70.19762845919999</v>
      </c>
      <c r="M52" s="490"/>
      <c r="N52" s="631"/>
      <c r="O52" s="631"/>
      <c r="P52" s="631"/>
      <c r="Q52" s="629"/>
      <c r="R52" s="631"/>
      <c r="S52" s="631"/>
      <c r="T52" s="631"/>
      <c r="U52" s="631"/>
      <c r="V52" s="629"/>
      <c r="W52" s="629"/>
    </row>
    <row r="53" spans="1:23" ht="18" customHeight="1" x14ac:dyDescent="0.25">
      <c r="A53" s="431"/>
      <c r="B53" s="500">
        <v>2</v>
      </c>
      <c r="C53" s="501">
        <v>2011</v>
      </c>
      <c r="D53" s="502">
        <f>'Table X12 Indices 2012=100'!D53*$D$11</f>
        <v>71.974522288559996</v>
      </c>
      <c r="E53" s="503">
        <f>'Table X12 Indices 2012=100'!E53*$E$11</f>
        <v>71.121718378020006</v>
      </c>
      <c r="F53" s="503">
        <f>'Table X12 Indices 2012=100'!F53*$F$11</f>
        <v>72.377049176130001</v>
      </c>
      <c r="G53" s="503">
        <f>'Table X12 Indices 2012=100'!G53*$G$11</f>
        <v>71.314741035499992</v>
      </c>
      <c r="H53" s="503">
        <f>'Table X12 Indices 2012=100'!H53*$H$11</f>
        <v>71.92</v>
      </c>
      <c r="I53" s="503">
        <f>'Table X12 Indices 2012=100'!I53*$I$11</f>
        <v>72.330097089780011</v>
      </c>
      <c r="J53" s="503">
        <f>'Table X12 Indices 2012=100'!J53*$J$11</f>
        <v>72.574178028549994</v>
      </c>
      <c r="K53" s="503">
        <f>'Table X12 Indices 2012=100'!K53*$K$11</f>
        <v>72.587185724950004</v>
      </c>
      <c r="L53" s="504">
        <f>'Table X12 Indices 2012=100'!L53*$L$11</f>
        <v>70.118577075800005</v>
      </c>
      <c r="M53" s="490"/>
      <c r="N53" s="631"/>
      <c r="O53" s="631"/>
      <c r="P53" s="631"/>
      <c r="Q53" s="629"/>
      <c r="R53" s="631"/>
      <c r="S53" s="631"/>
      <c r="T53" s="631"/>
      <c r="U53" s="631"/>
      <c r="V53" s="629"/>
      <c r="W53" s="629"/>
    </row>
    <row r="54" spans="1:23" ht="18" customHeight="1" x14ac:dyDescent="0.25">
      <c r="A54" s="431"/>
      <c r="B54" s="500">
        <v>3</v>
      </c>
      <c r="C54" s="501">
        <v>2011</v>
      </c>
      <c r="D54" s="502">
        <f>'Table X12 Indices 2012=100'!D54*$D$11</f>
        <v>72.929936301239991</v>
      </c>
      <c r="E54" s="503">
        <f>'Table X12 Indices 2012=100'!E54*$E$11</f>
        <v>71.917263326320011</v>
      </c>
      <c r="F54" s="503">
        <f>'Table X12 Indices 2012=100'!F54*$F$11</f>
        <v>73.360655733450002</v>
      </c>
      <c r="G54" s="503">
        <f>'Table X12 Indices 2012=100'!G54*$G$11</f>
        <v>72.1912350594</v>
      </c>
      <c r="H54" s="503">
        <f>'Table X12 Indices 2012=100'!H54*$H$11</f>
        <v>72.56</v>
      </c>
      <c r="I54" s="503">
        <f>'Table X12 Indices 2012=100'!I54*$I$11</f>
        <v>73.139158578480007</v>
      </c>
      <c r="J54" s="503">
        <f>'Table X12 Indices 2012=100'!J54*$J$11</f>
        <v>73.456295109560003</v>
      </c>
      <c r="K54" s="503">
        <f>'Table X12 Indices 2012=100'!K54*$K$11</f>
        <v>73.479318733859998</v>
      </c>
      <c r="L54" s="504">
        <f>'Table X12 Indices 2012=100'!L54*$L$11</f>
        <v>71.462450593599996</v>
      </c>
      <c r="M54" s="490"/>
      <c r="N54" s="631"/>
      <c r="O54" s="631"/>
      <c r="P54" s="631"/>
      <c r="Q54" s="629"/>
      <c r="R54" s="631"/>
      <c r="S54" s="631"/>
      <c r="T54" s="631"/>
      <c r="U54" s="631"/>
      <c r="V54" s="629"/>
      <c r="W54" s="629"/>
    </row>
    <row r="55" spans="1:23" ht="18" customHeight="1" x14ac:dyDescent="0.25">
      <c r="A55" s="431"/>
      <c r="B55" s="500">
        <v>4</v>
      </c>
      <c r="C55" s="501">
        <v>2011</v>
      </c>
      <c r="D55" s="502">
        <f>'Table X12 Indices 2012=100'!D55*$D$11</f>
        <v>73.168789804409997</v>
      </c>
      <c r="E55" s="503">
        <f>'Table X12 Indices 2012=100'!E55*$E$11</f>
        <v>72.155926810810001</v>
      </c>
      <c r="F55" s="503">
        <f>'Table X12 Indices 2012=100'!F55*$F$11</f>
        <v>73.770491798999998</v>
      </c>
      <c r="G55" s="503">
        <f>'Table X12 Indices 2012=100'!G55*$G$11</f>
        <v>72.589641433899999</v>
      </c>
      <c r="H55" s="503">
        <f>'Table X12 Indices 2012=100'!H55*$H$11</f>
        <v>72.8</v>
      </c>
      <c r="I55" s="503">
        <f>'Table X12 Indices 2012=100'!I55*$I$11</f>
        <v>73.381877025090006</v>
      </c>
      <c r="J55" s="503">
        <f>'Table X12 Indices 2012=100'!J55*$J$11</f>
        <v>73.536487571470005</v>
      </c>
      <c r="K55" s="503">
        <f>'Table X12 Indices 2012=100'!K55*$K$11</f>
        <v>73.722627736290008</v>
      </c>
      <c r="L55" s="504">
        <f>'Table X12 Indices 2012=100'!L55*$L$11</f>
        <v>71.778656127199994</v>
      </c>
      <c r="M55" s="490"/>
      <c r="N55" s="631"/>
      <c r="O55" s="631"/>
      <c r="P55" s="631"/>
      <c r="Q55" s="629"/>
      <c r="R55" s="631"/>
      <c r="S55" s="631"/>
      <c r="T55" s="631"/>
      <c r="U55" s="631"/>
      <c r="V55" s="629"/>
      <c r="W55" s="629"/>
    </row>
    <row r="56" spans="1:23" ht="18" customHeight="1" x14ac:dyDescent="0.25">
      <c r="A56" s="431"/>
      <c r="B56" s="500">
        <v>5</v>
      </c>
      <c r="C56" s="501">
        <v>2011</v>
      </c>
      <c r="D56" s="502">
        <f>'Table X12 Indices 2012=100'!D56*$D$11</f>
        <v>73.487261141969995</v>
      </c>
      <c r="E56" s="503">
        <f>'Table X12 Indices 2012=100'!E56*$E$11</f>
        <v>72.553699284960004</v>
      </c>
      <c r="F56" s="503">
        <f>'Table X12 Indices 2012=100'!F56*$F$11</f>
        <v>74.016393438329999</v>
      </c>
      <c r="G56" s="503">
        <f>'Table X12 Indices 2012=100'!G56*$G$11</f>
        <v>72.908366533500001</v>
      </c>
      <c r="H56" s="503">
        <f>'Table X12 Indices 2012=100'!H56*$H$11</f>
        <v>73.12</v>
      </c>
      <c r="I56" s="503">
        <f>'Table X12 Indices 2012=100'!I56*$I$11</f>
        <v>73.705501620570004</v>
      </c>
      <c r="J56" s="503">
        <f>'Table X12 Indices 2012=100'!J56*$J$11</f>
        <v>74.017642342930003</v>
      </c>
      <c r="K56" s="503">
        <f>'Table X12 Indices 2012=100'!K56*$K$11</f>
        <v>74.12814274034001</v>
      </c>
      <c r="L56" s="504">
        <f>'Table X12 Indices 2012=100'!L56*$L$11</f>
        <v>72.252964427600006</v>
      </c>
      <c r="M56" s="490"/>
      <c r="N56" s="631"/>
      <c r="O56" s="631"/>
      <c r="P56" s="631"/>
      <c r="Q56" s="629"/>
      <c r="R56" s="631"/>
      <c r="S56" s="631"/>
      <c r="T56" s="631"/>
      <c r="U56" s="631"/>
      <c r="V56" s="629"/>
      <c r="W56" s="629"/>
    </row>
    <row r="57" spans="1:23" ht="18" customHeight="1" x14ac:dyDescent="0.25">
      <c r="A57" s="431"/>
      <c r="B57" s="500">
        <v>6</v>
      </c>
      <c r="C57" s="501">
        <v>2011</v>
      </c>
      <c r="D57" s="502">
        <f>'Table X12 Indices 2012=100'!D57*$D$11</f>
        <v>73.805732479529993</v>
      </c>
      <c r="E57" s="503">
        <f>'Table X12 Indices 2012=100'!E57*$E$11</f>
        <v>73.269689738429989</v>
      </c>
      <c r="F57" s="503">
        <f>'Table X12 Indices 2012=100'!F57*$F$11</f>
        <v>74.262295077659999</v>
      </c>
      <c r="G57" s="503">
        <f>'Table X12 Indices 2012=100'!G57*$G$11</f>
        <v>73.067729083299994</v>
      </c>
      <c r="H57" s="503">
        <f>'Table X12 Indices 2012=100'!H57*$H$11</f>
        <v>73.52000000000001</v>
      </c>
      <c r="I57" s="503">
        <f>'Table X12 Indices 2012=100'!I57*$I$11</f>
        <v>74.271844662660001</v>
      </c>
      <c r="J57" s="503">
        <f>'Table X12 Indices 2012=100'!J57*$J$11</f>
        <v>74.338412190569997</v>
      </c>
      <c r="K57" s="503">
        <f>'Table X12 Indices 2012=100'!K57*$K$11</f>
        <v>74.290348741960003</v>
      </c>
      <c r="L57" s="504">
        <f>'Table X12 Indices 2012=100'!L57*$L$11</f>
        <v>72.727272728000003</v>
      </c>
      <c r="M57" s="490"/>
      <c r="N57" s="631"/>
      <c r="O57" s="631"/>
      <c r="P57" s="631"/>
      <c r="Q57" s="629"/>
      <c r="R57" s="631"/>
      <c r="S57" s="631"/>
      <c r="T57" s="631"/>
      <c r="U57" s="631"/>
      <c r="V57" s="629"/>
      <c r="W57" s="629"/>
    </row>
    <row r="58" spans="1:23" ht="18" customHeight="1" x14ac:dyDescent="0.25">
      <c r="A58" s="431"/>
      <c r="B58" s="500">
        <v>7</v>
      </c>
      <c r="C58" s="501">
        <v>2011</v>
      </c>
      <c r="D58" s="502">
        <f>'Table X12 Indices 2012=100'!D58*$D$11</f>
        <v>74.283439485869991</v>
      </c>
      <c r="E58" s="503">
        <f>'Table X12 Indices 2012=100'!E58*$E$11</f>
        <v>73.90612569707001</v>
      </c>
      <c r="F58" s="503">
        <f>'Table X12 Indices 2012=100'!F58*$F$11</f>
        <v>75.245901634980001</v>
      </c>
      <c r="G58" s="503">
        <f>'Table X12 Indices 2012=100'!G58*$G$11</f>
        <v>73.944223107200003</v>
      </c>
      <c r="H58" s="503">
        <f>'Table X12 Indices 2012=100'!H58*$H$11</f>
        <v>74.08</v>
      </c>
      <c r="I58" s="503">
        <f>'Table X12 Indices 2012=100'!I58*$I$11</f>
        <v>74.838187704749998</v>
      </c>
      <c r="J58" s="503">
        <f>'Table X12 Indices 2012=100'!J58*$J$11</f>
        <v>74.979951885849999</v>
      </c>
      <c r="K58" s="503">
        <f>'Table X12 Indices 2012=100'!K58*$K$11</f>
        <v>75.020275749250004</v>
      </c>
      <c r="L58" s="504">
        <f>'Table X12 Indices 2012=100'!L58*$L$11</f>
        <v>72.885375494800002</v>
      </c>
      <c r="M58" s="490"/>
      <c r="N58" s="631"/>
      <c r="O58" s="631"/>
      <c r="P58" s="631"/>
      <c r="Q58" s="629"/>
      <c r="R58" s="631"/>
      <c r="S58" s="631"/>
      <c r="T58" s="631"/>
      <c r="U58" s="631"/>
      <c r="V58" s="629"/>
      <c r="W58" s="629"/>
    </row>
    <row r="59" spans="1:23" ht="18" customHeight="1" x14ac:dyDescent="0.25">
      <c r="A59" s="431"/>
      <c r="B59" s="500">
        <v>8</v>
      </c>
      <c r="C59" s="501">
        <v>2011</v>
      </c>
      <c r="D59" s="502">
        <f>'Table X12 Indices 2012=100'!D59*$D$11</f>
        <v>74.442675154650004</v>
      </c>
      <c r="E59" s="503">
        <f>'Table X12 Indices 2012=100'!E59*$E$11</f>
        <v>74.065234686729994</v>
      </c>
      <c r="F59" s="503">
        <f>'Table X12 Indices 2012=100'!F59*$F$11</f>
        <v>75.819672126750007</v>
      </c>
      <c r="G59" s="503">
        <f>'Table X12 Indices 2012=100'!G59*$G$11</f>
        <v>74.0239043821</v>
      </c>
      <c r="H59" s="503">
        <f>'Table X12 Indices 2012=100'!H59*$H$11</f>
        <v>74.320000000000007</v>
      </c>
      <c r="I59" s="503">
        <f>'Table X12 Indices 2012=100'!I59*$I$11</f>
        <v>75.080906151359997</v>
      </c>
      <c r="J59" s="503">
        <f>'Table X12 Indices 2012=100'!J59*$J$11</f>
        <v>75.140336809670004</v>
      </c>
      <c r="K59" s="503">
        <f>'Table X12 Indices 2012=100'!K59*$K$11</f>
        <v>75.020275749250004</v>
      </c>
      <c r="L59" s="504">
        <f>'Table X12 Indices 2012=100'!L59*$L$11</f>
        <v>72.964426878200001</v>
      </c>
      <c r="M59" s="490"/>
      <c r="N59" s="631"/>
      <c r="O59" s="631"/>
      <c r="P59" s="631"/>
      <c r="Q59" s="629"/>
      <c r="R59" s="631"/>
      <c r="S59" s="631"/>
      <c r="T59" s="631"/>
      <c r="U59" s="631"/>
      <c r="V59" s="629"/>
      <c r="W59" s="629"/>
    </row>
    <row r="60" spans="1:23" ht="18" customHeight="1" x14ac:dyDescent="0.25">
      <c r="A60" s="431"/>
      <c r="B60" s="500">
        <v>9</v>
      </c>
      <c r="C60" s="501">
        <v>2011</v>
      </c>
      <c r="D60" s="502">
        <f>'Table X12 Indices 2012=100'!D60*$D$11</f>
        <v>74.840764326599995</v>
      </c>
      <c r="E60" s="503">
        <f>'Table X12 Indices 2012=100'!E60*$E$11</f>
        <v>74.542561655710003</v>
      </c>
      <c r="F60" s="503">
        <f>'Table X12 Indices 2012=100'!F60*$F$11</f>
        <v>76.311475405409993</v>
      </c>
      <c r="G60" s="503">
        <f>'Table X12 Indices 2012=100'!G60*$G$11</f>
        <v>74.422310756599998</v>
      </c>
      <c r="H60" s="503">
        <f>'Table X12 Indices 2012=100'!H60*$H$11</f>
        <v>74.48</v>
      </c>
      <c r="I60" s="503">
        <f>'Table X12 Indices 2012=100'!I60*$I$11</f>
        <v>75.161812300230011</v>
      </c>
      <c r="J60" s="503">
        <f>'Table X12 Indices 2012=100'!J60*$J$11</f>
        <v>75.300721733490008</v>
      </c>
      <c r="K60" s="503">
        <f>'Table X12 Indices 2012=100'!K60*$K$11</f>
        <v>75.26358475168</v>
      </c>
      <c r="L60" s="504">
        <f>'Table X12 Indices 2012=100'!L60*$L$11</f>
        <v>73.359683795199999</v>
      </c>
      <c r="M60" s="490"/>
      <c r="N60" s="631"/>
      <c r="O60" s="631"/>
      <c r="P60" s="631"/>
      <c r="Q60" s="629"/>
      <c r="R60" s="631"/>
      <c r="S60" s="631"/>
      <c r="T60" s="631"/>
      <c r="U60" s="631"/>
      <c r="V60" s="629"/>
      <c r="W60" s="629"/>
    </row>
    <row r="61" spans="1:23" ht="18" customHeight="1" x14ac:dyDescent="0.25">
      <c r="A61" s="431"/>
      <c r="B61" s="500">
        <v>10</v>
      </c>
      <c r="C61" s="501">
        <v>2011</v>
      </c>
      <c r="D61" s="502">
        <f>'Table X12 Indices 2012=100'!D61*$D$11</f>
        <v>75.159235664160008</v>
      </c>
      <c r="E61" s="503">
        <f>'Table X12 Indices 2012=100'!E61*$E$11</f>
        <v>75.019888624689997</v>
      </c>
      <c r="F61" s="503">
        <f>'Table X12 Indices 2012=100'!F61*$F$11</f>
        <v>76.885245897179999</v>
      </c>
      <c r="G61" s="503">
        <f>'Table X12 Indices 2012=100'!G61*$G$11</f>
        <v>74.900398405999994</v>
      </c>
      <c r="H61" s="503">
        <f>'Table X12 Indices 2012=100'!H61*$H$11</f>
        <v>75.040000000000006</v>
      </c>
      <c r="I61" s="503">
        <f>'Table X12 Indices 2012=100'!I61*$I$11</f>
        <v>75.728155342319994</v>
      </c>
      <c r="J61" s="503">
        <f>'Table X12 Indices 2012=100'!J61*$J$11</f>
        <v>75.701684043040004</v>
      </c>
      <c r="K61" s="503">
        <f>'Table X12 Indices 2012=100'!K61*$K$11</f>
        <v>75.912408758159998</v>
      </c>
      <c r="L61" s="504">
        <f>'Table X12 Indices 2012=100'!L61*$L$11</f>
        <v>73.913043478999995</v>
      </c>
      <c r="M61" s="490"/>
      <c r="N61" s="631"/>
      <c r="O61" s="631"/>
      <c r="P61" s="631"/>
      <c r="Q61" s="629"/>
      <c r="R61" s="631"/>
      <c r="S61" s="631"/>
      <c r="T61" s="631"/>
      <c r="U61" s="631"/>
      <c r="V61" s="629"/>
      <c r="W61" s="629"/>
    </row>
    <row r="62" spans="1:23" ht="18" customHeight="1" x14ac:dyDescent="0.25">
      <c r="A62" s="431"/>
      <c r="B62" s="500">
        <v>11</v>
      </c>
      <c r="C62" s="501">
        <v>2011</v>
      </c>
      <c r="D62" s="502">
        <f>'Table X12 Indices 2012=100'!D62*$D$11</f>
        <v>75.318471332939993</v>
      </c>
      <c r="E62" s="503">
        <f>'Table X12 Indices 2012=100'!E62*$E$11</f>
        <v>75.258552109180002</v>
      </c>
      <c r="F62" s="503">
        <f>'Table X12 Indices 2012=100'!F62*$F$11</f>
        <v>77.213114749620004</v>
      </c>
      <c r="G62" s="503">
        <f>'Table X12 Indices 2012=100'!G62*$G$11</f>
        <v>75.139442230699999</v>
      </c>
      <c r="H62" s="503">
        <f>'Table X12 Indices 2012=100'!H62*$H$11</f>
        <v>75.28</v>
      </c>
      <c r="I62" s="503">
        <f>'Table X12 Indices 2012=100'!I62*$I$11</f>
        <v>75.809061491190008</v>
      </c>
      <c r="J62" s="503">
        <f>'Table X12 Indices 2012=100'!J62*$J$11</f>
        <v>75.862068966859994</v>
      </c>
      <c r="K62" s="503">
        <f>'Table X12 Indices 2012=100'!K62*$K$11</f>
        <v>76.074614759780005</v>
      </c>
      <c r="L62" s="504">
        <f>'Table X12 Indices 2012=100'!L62*$L$11</f>
        <v>74.150197629199994</v>
      </c>
      <c r="M62" s="490"/>
      <c r="N62" s="631"/>
      <c r="O62" s="631"/>
      <c r="P62" s="631"/>
      <c r="Q62" s="629"/>
      <c r="R62" s="631"/>
      <c r="S62" s="631"/>
      <c r="T62" s="631"/>
      <c r="U62" s="631"/>
      <c r="V62" s="629"/>
      <c r="W62" s="629"/>
    </row>
    <row r="63" spans="1:23" ht="18" customHeight="1" x14ac:dyDescent="0.25">
      <c r="A63" s="431"/>
      <c r="B63" s="515">
        <v>12</v>
      </c>
      <c r="C63" s="516">
        <v>2011</v>
      </c>
      <c r="D63" s="517">
        <f>'Table X12 Indices 2012=100'!D63*$D$11</f>
        <v>75.398089167329999</v>
      </c>
      <c r="E63" s="518">
        <f>'Table X12 Indices 2012=100'!E63*$E$11</f>
        <v>75.497215593670006</v>
      </c>
      <c r="F63" s="518">
        <f>'Table X12 Indices 2012=100'!F63*$F$11</f>
        <v>76.967213110290004</v>
      </c>
      <c r="G63" s="518">
        <f>'Table X12 Indices 2012=100'!G63*$G$11</f>
        <v>75.378486055399989</v>
      </c>
      <c r="H63" s="518">
        <f>'Table X12 Indices 2012=100'!H63*$H$11</f>
        <v>75.760000000000005</v>
      </c>
      <c r="I63" s="518">
        <f>'Table X12 Indices 2012=100'!I63*$I$11</f>
        <v>76.051779937800006</v>
      </c>
      <c r="J63" s="518">
        <f>'Table X12 Indices 2012=100'!J63*$J$11</f>
        <v>76.022453890679998</v>
      </c>
      <c r="K63" s="518">
        <f>'Table X12 Indices 2012=100'!K63*$K$11</f>
        <v>76.399026763020004</v>
      </c>
      <c r="L63" s="519">
        <f>'Table X12 Indices 2012=100'!L63*$L$11</f>
        <v>74.466403162800006</v>
      </c>
      <c r="M63" s="490"/>
      <c r="N63" s="631"/>
      <c r="O63" s="631"/>
      <c r="P63" s="631"/>
      <c r="Q63" s="629"/>
      <c r="R63" s="631"/>
      <c r="S63" s="631"/>
      <c r="T63" s="631"/>
      <c r="U63" s="631"/>
      <c r="V63" s="629"/>
      <c r="W63" s="629"/>
    </row>
    <row r="64" spans="1:23" ht="18" customHeight="1" x14ac:dyDescent="0.25">
      <c r="A64" s="431"/>
      <c r="B64" s="528">
        <v>1</v>
      </c>
      <c r="C64" s="529">
        <v>2012</v>
      </c>
      <c r="D64" s="530">
        <f>'Table X12 Indices 2012=100'!D64*$D$11</f>
        <v>75.716560504889998</v>
      </c>
      <c r="E64" s="531">
        <f>'Table X12 Indices 2012=100'!E64*$E$11</f>
        <v>75.894988067820009</v>
      </c>
      <c r="F64" s="531">
        <f>'Table X12 Indices 2012=100'!F64*$F$11</f>
        <v>77.78688524139001</v>
      </c>
      <c r="G64" s="531">
        <f>'Table X12 Indices 2012=100'!G64*$G$11</f>
        <v>75.856573704799999</v>
      </c>
      <c r="H64" s="531">
        <f>'Table X12 Indices 2012=100'!H64*$H$11</f>
        <v>76</v>
      </c>
      <c r="I64" s="531">
        <f>'Table X12 Indices 2012=100'!I64*$I$11</f>
        <v>76.537216831020004</v>
      </c>
      <c r="J64" s="531">
        <f>'Table X12 Indices 2012=100'!J64*$J$11</f>
        <v>76.423416200229994</v>
      </c>
      <c r="K64" s="531">
        <f>'Table X12 Indices 2012=100'!K64*$K$11</f>
        <v>76.885644767879995</v>
      </c>
      <c r="L64" s="532">
        <f>'Table X12 Indices 2012=100'!L64*$L$11</f>
        <v>75.019762846600003</v>
      </c>
      <c r="M64" s="490"/>
      <c r="N64" s="631"/>
      <c r="O64" s="631"/>
      <c r="P64" s="631"/>
      <c r="Q64" s="629"/>
      <c r="R64" s="631"/>
      <c r="S64" s="631"/>
      <c r="T64" s="631"/>
      <c r="U64" s="631"/>
      <c r="V64" s="629"/>
      <c r="W64" s="629"/>
    </row>
    <row r="65" spans="1:23" ht="18" customHeight="1" x14ac:dyDescent="0.25">
      <c r="A65" s="431"/>
      <c r="B65" s="555">
        <v>2</v>
      </c>
      <c r="C65" s="501">
        <v>2012</v>
      </c>
      <c r="D65" s="502">
        <f>'Table X12 Indices 2012=100'!D65*$D$11</f>
        <v>76.194267511229995</v>
      </c>
      <c r="E65" s="503">
        <f>'Table X12 Indices 2012=100'!E65*$E$11</f>
        <v>76.133651552309999</v>
      </c>
      <c r="F65" s="503">
        <f>'Table X12 Indices 2012=100'!F65*$F$11</f>
        <v>78.03278688072001</v>
      </c>
      <c r="G65" s="503">
        <f>'Table X12 Indices 2012=100'!G65*$G$11</f>
        <v>76.175298804400001</v>
      </c>
      <c r="H65" s="503">
        <f>'Table X12 Indices 2012=100'!H65*$H$11</f>
        <v>76.400000000000006</v>
      </c>
      <c r="I65" s="503">
        <f>'Table X12 Indices 2012=100'!I65*$I$11</f>
        <v>76.941747575370002</v>
      </c>
      <c r="J65" s="503">
        <f>'Table X12 Indices 2012=100'!J65*$J$11</f>
        <v>76.904570971690006</v>
      </c>
      <c r="K65" s="503">
        <f>'Table X12 Indices 2012=100'!K65*$K$11</f>
        <v>77.453365773550004</v>
      </c>
      <c r="L65" s="504">
        <f>'Table X12 Indices 2012=100'!L65*$L$11</f>
        <v>75.335968380200001</v>
      </c>
      <c r="M65" s="490"/>
      <c r="N65" s="631"/>
      <c r="O65" s="631"/>
      <c r="P65" s="631"/>
      <c r="Q65" s="629"/>
      <c r="R65" s="631"/>
      <c r="S65" s="631"/>
      <c r="T65" s="631"/>
      <c r="U65" s="631"/>
      <c r="V65" s="629"/>
      <c r="W65" s="629"/>
    </row>
    <row r="66" spans="1:23" ht="18" customHeight="1" x14ac:dyDescent="0.25">
      <c r="A66" s="431"/>
      <c r="B66" s="555">
        <v>3</v>
      </c>
      <c r="C66" s="501">
        <v>2012</v>
      </c>
      <c r="D66" s="502">
        <f>'Table X12 Indices 2012=100'!D66*$D$11</f>
        <v>76.990445855130005</v>
      </c>
      <c r="E66" s="503">
        <f>'Table X12 Indices 2012=100'!E66*$E$11</f>
        <v>76.849642005779998</v>
      </c>
      <c r="F66" s="503">
        <f>'Table X12 Indices 2012=100'!F66*$F$11</f>
        <v>78.934426224930007</v>
      </c>
      <c r="G66" s="503">
        <f>'Table X12 Indices 2012=100'!G66*$G$11</f>
        <v>76.733067728699993</v>
      </c>
      <c r="H66" s="503">
        <f>'Table X12 Indices 2012=100'!H66*$H$11</f>
        <v>77.360000000000014</v>
      </c>
      <c r="I66" s="503">
        <f>'Table X12 Indices 2012=100'!I66*$I$11</f>
        <v>77.912621361809997</v>
      </c>
      <c r="J66" s="503">
        <f>'Table X12 Indices 2012=100'!J66*$J$11</f>
        <v>77.706495590790013</v>
      </c>
      <c r="K66" s="503">
        <f>'Table X12 Indices 2012=100'!K66*$K$11</f>
        <v>78.345498782459998</v>
      </c>
      <c r="L66" s="504">
        <f>'Table X12 Indices 2012=100'!L66*$L$11</f>
        <v>76.047430830799996</v>
      </c>
      <c r="M66" s="490"/>
      <c r="N66" s="631"/>
      <c r="O66" s="631"/>
      <c r="P66" s="631"/>
      <c r="Q66" s="629"/>
      <c r="R66" s="631"/>
      <c r="S66" s="631"/>
      <c r="T66" s="631"/>
      <c r="U66" s="631"/>
      <c r="V66" s="629"/>
      <c r="W66" s="629"/>
    </row>
    <row r="67" spans="1:23" ht="18" customHeight="1" x14ac:dyDescent="0.25">
      <c r="A67" s="431"/>
      <c r="B67" s="555">
        <v>4</v>
      </c>
      <c r="C67" s="501">
        <v>2012</v>
      </c>
      <c r="D67" s="502">
        <f>'Table X12 Indices 2012=100'!D67*$D$11</f>
        <v>77.308917192689989</v>
      </c>
      <c r="E67" s="503">
        <f>'Table X12 Indices 2012=100'!E67*$E$11</f>
        <v>77.247414479930001</v>
      </c>
      <c r="F67" s="503">
        <f>'Table X12 Indices 2012=100'!F67*$F$11</f>
        <v>79.344262290480003</v>
      </c>
      <c r="G67" s="503">
        <f>'Table X12 Indices 2012=100'!G67*$G$11</f>
        <v>77.131474103199992</v>
      </c>
      <c r="H67" s="503">
        <f>'Table X12 Indices 2012=100'!H67*$H$11</f>
        <v>77.600000000000009</v>
      </c>
      <c r="I67" s="503">
        <f>'Table X12 Indices 2012=100'!I67*$I$11</f>
        <v>78.155339808419996</v>
      </c>
      <c r="J67" s="503">
        <f>'Table X12 Indices 2012=100'!J67*$J$11</f>
        <v>78.027265438429993</v>
      </c>
      <c r="K67" s="503">
        <f>'Table X12 Indices 2012=100'!K67*$K$11</f>
        <v>78.507704784080005</v>
      </c>
      <c r="L67" s="504">
        <f>'Table X12 Indices 2012=100'!L67*$L$11</f>
        <v>76.047430830799996</v>
      </c>
      <c r="M67" s="490"/>
      <c r="N67" s="631"/>
      <c r="O67" s="631"/>
      <c r="P67" s="631"/>
      <c r="Q67" s="629"/>
      <c r="R67" s="631"/>
      <c r="S67" s="631"/>
      <c r="T67" s="631"/>
      <c r="U67" s="631"/>
      <c r="V67" s="629"/>
      <c r="W67" s="629"/>
    </row>
    <row r="68" spans="1:23" ht="18" customHeight="1" x14ac:dyDescent="0.25">
      <c r="A68" s="431"/>
      <c r="B68" s="555">
        <v>5</v>
      </c>
      <c r="C68" s="501">
        <v>2012</v>
      </c>
      <c r="D68" s="502">
        <f>'Table X12 Indices 2012=100'!D68*$D$11</f>
        <v>77.388535027079996</v>
      </c>
      <c r="E68" s="503">
        <f>'Table X12 Indices 2012=100'!E68*$E$11</f>
        <v>77.486077964420005</v>
      </c>
      <c r="F68" s="503">
        <f>'Table X12 Indices 2012=100'!F68*$F$11</f>
        <v>79.426229503590008</v>
      </c>
      <c r="G68" s="503">
        <f>'Table X12 Indices 2012=100'!G68*$G$11</f>
        <v>77.211155378100003</v>
      </c>
      <c r="H68" s="503">
        <f>'Table X12 Indices 2012=100'!H68*$H$11</f>
        <v>77.680000000000007</v>
      </c>
      <c r="I68" s="503">
        <f>'Table X12 Indices 2012=100'!I68*$I$11</f>
        <v>78.07443365955001</v>
      </c>
      <c r="J68" s="503">
        <f>'Table X12 Indices 2012=100'!J68*$J$11</f>
        <v>78.107457900340009</v>
      </c>
      <c r="K68" s="503">
        <f>'Table X12 Indices 2012=100'!K68*$K$11</f>
        <v>78.588807784890008</v>
      </c>
      <c r="L68" s="504">
        <f>'Table X12 Indices 2012=100'!L68*$L$11</f>
        <v>76.363636364399994</v>
      </c>
      <c r="M68" s="490"/>
      <c r="N68" s="631"/>
      <c r="O68" s="631"/>
      <c r="P68" s="631"/>
      <c r="Q68" s="629"/>
      <c r="R68" s="631"/>
      <c r="S68" s="631"/>
      <c r="T68" s="631"/>
      <c r="U68" s="631"/>
      <c r="V68" s="629"/>
      <c r="W68" s="629"/>
    </row>
    <row r="69" spans="1:23" ht="18" customHeight="1" x14ac:dyDescent="0.25">
      <c r="A69" s="431"/>
      <c r="B69" s="555">
        <v>6</v>
      </c>
      <c r="C69" s="501">
        <v>2012</v>
      </c>
      <c r="D69" s="502">
        <f>'Table X12 Indices 2012=100'!D69*$D$11</f>
        <v>77.707006364639994</v>
      </c>
      <c r="E69" s="503">
        <f>'Table X12 Indices 2012=100'!E69*$E$11</f>
        <v>77.565632459249997</v>
      </c>
      <c r="F69" s="503">
        <f>'Table X12 Indices 2012=100'!F69*$F$11</f>
        <v>79.426229503590008</v>
      </c>
      <c r="G69" s="503">
        <f>'Table X12 Indices 2012=100'!G69*$G$11</f>
        <v>77.290836653</v>
      </c>
      <c r="H69" s="503">
        <f>'Table X12 Indices 2012=100'!H69*$H$11</f>
        <v>77.760000000000005</v>
      </c>
      <c r="I69" s="503">
        <f>'Table X12 Indices 2012=100'!I69*$I$11</f>
        <v>78.640776701640007</v>
      </c>
      <c r="J69" s="503">
        <f>'Table X12 Indices 2012=100'!J69*$J$11</f>
        <v>78.348035286070001</v>
      </c>
      <c r="K69" s="503">
        <f>'Table X12 Indices 2012=100'!K69*$K$11</f>
        <v>78.913219788130007</v>
      </c>
      <c r="L69" s="504">
        <f>'Table X12 Indices 2012=100'!L69*$L$11</f>
        <v>76.758893281399992</v>
      </c>
      <c r="M69" s="490"/>
      <c r="N69" s="631"/>
      <c r="O69" s="631"/>
      <c r="P69" s="631"/>
      <c r="Q69" s="629"/>
      <c r="R69" s="631"/>
      <c r="S69" s="631"/>
      <c r="T69" s="631"/>
      <c r="U69" s="631"/>
      <c r="V69" s="629"/>
      <c r="W69" s="629"/>
    </row>
    <row r="70" spans="1:23" ht="18" customHeight="1" x14ac:dyDescent="0.25">
      <c r="A70" s="431"/>
      <c r="B70" s="555">
        <v>7</v>
      </c>
      <c r="C70" s="501">
        <v>2012</v>
      </c>
      <c r="D70" s="502">
        <f>'Table X12 Indices 2012=100'!D70*$D$11</f>
        <v>77.866242033419994</v>
      </c>
      <c r="E70" s="503">
        <f>'Table X12 Indices 2012=100'!E70*$E$11</f>
        <v>77.645186954079989</v>
      </c>
      <c r="F70" s="503">
        <f>'Table X12 Indices 2012=100'!F70*$F$11</f>
        <v>79.836065569140004</v>
      </c>
      <c r="G70" s="503">
        <f>'Table X12 Indices 2012=100'!G70*$G$11</f>
        <v>77.52988047769999</v>
      </c>
      <c r="H70" s="503">
        <f>'Table X12 Indices 2012=100'!H70*$H$11</f>
        <v>78</v>
      </c>
      <c r="I70" s="503">
        <f>'Table X12 Indices 2012=100'!I70*$I$11</f>
        <v>78.721682850510007</v>
      </c>
      <c r="J70" s="503">
        <f>'Table X12 Indices 2012=100'!J70*$J$11</f>
        <v>78.508420209890005</v>
      </c>
      <c r="K70" s="503">
        <f>'Table X12 Indices 2012=100'!K70*$K$11</f>
        <v>79.07542578975</v>
      </c>
      <c r="L70" s="504">
        <f>'Table X12 Indices 2012=100'!L70*$L$11</f>
        <v>77.075098815000004</v>
      </c>
      <c r="M70" s="490"/>
      <c r="N70" s="631"/>
      <c r="O70" s="631"/>
      <c r="P70" s="631"/>
      <c r="Q70" s="629"/>
      <c r="R70" s="631"/>
      <c r="S70" s="631"/>
      <c r="T70" s="631"/>
      <c r="U70" s="631"/>
      <c r="V70" s="629"/>
      <c r="W70" s="629"/>
    </row>
    <row r="71" spans="1:23" ht="18" customHeight="1" x14ac:dyDescent="0.25">
      <c r="A71" s="431"/>
      <c r="B71" s="555">
        <v>8</v>
      </c>
      <c r="C71" s="501">
        <v>2012</v>
      </c>
      <c r="D71" s="502">
        <f>'Table X12 Indices 2012=100'!D71*$D$11</f>
        <v>78.025477702199993</v>
      </c>
      <c r="E71" s="503">
        <f>'Table X12 Indices 2012=100'!E71*$E$11</f>
        <v>77.804295943740001</v>
      </c>
      <c r="F71" s="503">
        <f>'Table X12 Indices 2012=100'!F71*$F$11</f>
        <v>79.836065569140004</v>
      </c>
      <c r="G71" s="503">
        <f>'Table X12 Indices 2012=100'!G71*$G$11</f>
        <v>77.689243027499998</v>
      </c>
      <c r="H71" s="503">
        <f>'Table X12 Indices 2012=100'!H71*$H$11</f>
        <v>78.160000000000011</v>
      </c>
      <c r="I71" s="503">
        <f>'Table X12 Indices 2012=100'!I71*$I$11</f>
        <v>79.045307445990005</v>
      </c>
      <c r="J71" s="503">
        <f>'Table X12 Indices 2012=100'!J71*$J$11</f>
        <v>78.748997595619997</v>
      </c>
      <c r="K71" s="503">
        <f>'Table X12 Indices 2012=100'!K71*$K$11</f>
        <v>79.318734792179995</v>
      </c>
      <c r="L71" s="504">
        <f>'Table X12 Indices 2012=100'!L71*$L$11</f>
        <v>77.154150198399989</v>
      </c>
      <c r="M71" s="490"/>
      <c r="N71" s="631"/>
      <c r="O71" s="631"/>
      <c r="P71" s="631"/>
      <c r="Q71" s="629"/>
      <c r="R71" s="631"/>
      <c r="S71" s="631"/>
      <c r="T71" s="631"/>
      <c r="U71" s="631"/>
      <c r="V71" s="629"/>
      <c r="W71" s="629"/>
    </row>
    <row r="72" spans="1:23" ht="18" customHeight="1" x14ac:dyDescent="0.25">
      <c r="A72" s="431"/>
      <c r="B72" s="555">
        <v>9</v>
      </c>
      <c r="C72" s="501">
        <v>2012</v>
      </c>
      <c r="D72" s="502">
        <f>'Table X12 Indices 2012=100'!D72*$D$11</f>
        <v>78.662420377319989</v>
      </c>
      <c r="E72" s="503">
        <f>'Table X12 Indices 2012=100'!E72*$E$11</f>
        <v>78.52028639721</v>
      </c>
      <c r="F72" s="503">
        <f>'Table X12 Indices 2012=100'!F72*$F$11</f>
        <v>80.819672126460006</v>
      </c>
      <c r="G72" s="503">
        <f>'Table X12 Indices 2012=100'!G72*$G$11</f>
        <v>78.406374501599998</v>
      </c>
      <c r="H72" s="503">
        <f>'Table X12 Indices 2012=100'!H72*$H$11</f>
        <v>78.960000000000008</v>
      </c>
      <c r="I72" s="503">
        <f>'Table X12 Indices 2012=100'!I72*$I$11</f>
        <v>80.177993530169999</v>
      </c>
      <c r="J72" s="503">
        <f>'Table X12 Indices 2012=100'!J72*$J$11</f>
        <v>79.390537290899999</v>
      </c>
      <c r="K72" s="503">
        <f>'Table X12 Indices 2012=100'!K72*$K$11</f>
        <v>80.048661799470011</v>
      </c>
      <c r="L72" s="504">
        <f>'Table X12 Indices 2012=100'!L72*$L$11</f>
        <v>77.865612648999999</v>
      </c>
      <c r="M72" s="490"/>
      <c r="N72" s="631"/>
      <c r="O72" s="631"/>
      <c r="P72" s="631"/>
      <c r="Q72" s="629"/>
      <c r="R72" s="631"/>
      <c r="S72" s="631"/>
      <c r="T72" s="631"/>
      <c r="U72" s="631"/>
      <c r="V72" s="629"/>
      <c r="W72" s="629"/>
    </row>
    <row r="73" spans="1:23" ht="18" customHeight="1" x14ac:dyDescent="0.25">
      <c r="A73" s="431"/>
      <c r="B73" s="555">
        <v>10</v>
      </c>
      <c r="C73" s="501">
        <v>2012</v>
      </c>
      <c r="D73" s="502">
        <f>'Table X12 Indices 2012=100'!D73*$D$11</f>
        <v>79.140127383660001</v>
      </c>
      <c r="E73" s="503">
        <f>'Table X12 Indices 2012=100'!E73*$E$11</f>
        <v>79.077167861020001</v>
      </c>
      <c r="F73" s="503">
        <f>'Table X12 Indices 2012=100'!F73*$F$11</f>
        <v>81.311475405120007</v>
      </c>
      <c r="G73" s="503">
        <f>'Table X12 Indices 2012=100'!G73*$G$11</f>
        <v>78.964143425899991</v>
      </c>
      <c r="H73" s="503">
        <f>'Table X12 Indices 2012=100'!H73*$H$11</f>
        <v>79.52000000000001</v>
      </c>
      <c r="I73" s="503">
        <f>'Table X12 Indices 2012=100'!I73*$I$11</f>
        <v>80.744336572259996</v>
      </c>
      <c r="J73" s="503">
        <f>'Table X12 Indices 2012=100'!J73*$J$11</f>
        <v>79.95188452427</v>
      </c>
      <c r="K73" s="503">
        <f>'Table X12 Indices 2012=100'!K73*$K$11</f>
        <v>80.697485805950009</v>
      </c>
      <c r="L73" s="504">
        <f>'Table X12 Indices 2012=100'!L73*$L$11</f>
        <v>78.498023716199995</v>
      </c>
      <c r="M73" s="490"/>
      <c r="N73" s="631"/>
      <c r="O73" s="631"/>
      <c r="P73" s="631"/>
      <c r="Q73" s="629"/>
      <c r="R73" s="631"/>
      <c r="S73" s="631"/>
      <c r="T73" s="631"/>
      <c r="U73" s="631"/>
      <c r="V73" s="629"/>
      <c r="W73" s="629"/>
    </row>
    <row r="74" spans="1:23" ht="18" customHeight="1" x14ac:dyDescent="0.25">
      <c r="A74" s="431"/>
      <c r="B74" s="555">
        <v>11</v>
      </c>
      <c r="C74" s="501">
        <v>2012</v>
      </c>
      <c r="D74" s="502">
        <f>'Table X12 Indices 2012=100'!D74*$D$11</f>
        <v>79.378980886829993</v>
      </c>
      <c r="E74" s="503">
        <f>'Table X12 Indices 2012=100'!E74*$E$11</f>
        <v>79.474940335170004</v>
      </c>
      <c r="F74" s="503">
        <f>'Table X12 Indices 2012=100'!F74*$F$11</f>
        <v>81.803278683780007</v>
      </c>
      <c r="G74" s="503">
        <f>'Table X12 Indices 2012=100'!G74*$G$11</f>
        <v>79.282868525499993</v>
      </c>
      <c r="H74" s="503">
        <f>'Table X12 Indices 2012=100'!H74*$H$11</f>
        <v>79.760000000000005</v>
      </c>
      <c r="I74" s="503">
        <f>'Table X12 Indices 2012=100'!I74*$I$11</f>
        <v>80.82524272113001</v>
      </c>
      <c r="J74" s="503">
        <f>'Table X12 Indices 2012=100'!J74*$J$11</f>
        <v>80.032076986180002</v>
      </c>
      <c r="K74" s="503">
        <f>'Table X12 Indices 2012=100'!K74*$K$11</f>
        <v>80.778588806759998</v>
      </c>
      <c r="L74" s="504">
        <f>'Table X12 Indices 2012=100'!L74*$L$11</f>
        <v>78.656126482999994</v>
      </c>
      <c r="M74" s="490"/>
      <c r="N74" s="631"/>
      <c r="O74" s="631"/>
      <c r="P74" s="631"/>
      <c r="Q74" s="629"/>
      <c r="R74" s="631"/>
      <c r="S74" s="631"/>
      <c r="T74" s="631"/>
      <c r="U74" s="631"/>
      <c r="V74" s="629"/>
      <c r="W74" s="629"/>
    </row>
    <row r="75" spans="1:23" ht="18" customHeight="1" x14ac:dyDescent="0.25">
      <c r="A75" s="431"/>
      <c r="B75" s="556">
        <v>12</v>
      </c>
      <c r="C75" s="516">
        <v>2012</v>
      </c>
      <c r="D75" s="517">
        <f>'Table X12 Indices 2012=100'!D75*$D$11</f>
        <v>79.617834389999999</v>
      </c>
      <c r="E75" s="518">
        <f>'Table X12 Indices 2012=100'!E75*$E$11</f>
        <v>79.554494829999996</v>
      </c>
      <c r="F75" s="518">
        <f>'Table X12 Indices 2012=100'!F75*$F$11</f>
        <v>81.967213110000003</v>
      </c>
      <c r="G75" s="518">
        <f>'Table X12 Indices 2012=100'!G75*$G$11</f>
        <v>79.681274900000005</v>
      </c>
      <c r="H75" s="518">
        <f>'Table X12 Indices 2012=100'!H75*$H$11</f>
        <v>80</v>
      </c>
      <c r="I75" s="518">
        <f>'Table X12 Indices 2012=100'!I75*$I$11</f>
        <v>80.90614887000001</v>
      </c>
      <c r="J75" s="518">
        <f>'Table X12 Indices 2012=100'!J75*$J$11</f>
        <v>80.192461910000006</v>
      </c>
      <c r="K75" s="518">
        <f>'Table X12 Indices 2012=100'!K75*$K$11</f>
        <v>81.103000809999998</v>
      </c>
      <c r="L75" s="519">
        <f>'Table X12 Indices 2012=100'!L75*$L$11</f>
        <v>79.051383399999992</v>
      </c>
      <c r="M75" s="490"/>
      <c r="N75" s="631"/>
      <c r="O75" s="631"/>
      <c r="P75" s="631"/>
      <c r="Q75" s="629"/>
      <c r="R75" s="631"/>
      <c r="S75" s="631"/>
      <c r="T75" s="631"/>
      <c r="U75" s="631"/>
      <c r="V75" s="629"/>
      <c r="W75" s="629"/>
    </row>
    <row r="76" spans="1:23" ht="18" customHeight="1" x14ac:dyDescent="0.25">
      <c r="A76" s="431"/>
      <c r="B76" s="566">
        <v>1</v>
      </c>
      <c r="C76" s="529">
        <v>2013</v>
      </c>
      <c r="D76" s="530">
        <f>'Table X12 Indices 2012=100'!D76*$D$11</f>
        <v>79.777070058779998</v>
      </c>
      <c r="E76" s="531">
        <f>'Table X12 Indices 2012=100'!E76*$E$11</f>
        <v>79.713603819660008</v>
      </c>
      <c r="F76" s="531">
        <f>'Table X12 Indices 2012=100'!F76*$F$11</f>
        <v>82.295081962440008</v>
      </c>
      <c r="G76" s="531">
        <f>'Table X12 Indices 2012=100'!G76*$G$11</f>
        <v>79.840637449799999</v>
      </c>
      <c r="H76" s="531">
        <f>'Table X12 Indices 2012=100'!H76*$H$11</f>
        <v>80.08</v>
      </c>
      <c r="I76" s="531">
        <f>'Table X12 Indices 2012=100'!I76*$I$11</f>
        <v>81.229773465480008</v>
      </c>
      <c r="J76" s="531">
        <f>'Table X12 Indices 2012=100'!J76*$J$11</f>
        <v>80.51323175764</v>
      </c>
      <c r="K76" s="531">
        <f>'Table X12 Indices 2012=100'!K76*$K$11</f>
        <v>81.427412813240011</v>
      </c>
      <c r="L76" s="532">
        <f>'Table X12 Indices 2012=100'!L76*$L$11</f>
        <v>79.446640317000004</v>
      </c>
      <c r="M76" s="490"/>
      <c r="N76" s="631"/>
      <c r="O76" s="631"/>
      <c r="P76" s="631"/>
      <c r="Q76" s="629"/>
      <c r="R76" s="631"/>
      <c r="S76" s="631"/>
      <c r="T76" s="631"/>
      <c r="U76" s="631"/>
      <c r="V76" s="629"/>
      <c r="W76" s="629"/>
    </row>
    <row r="77" spans="1:23" ht="18" customHeight="1" x14ac:dyDescent="0.25">
      <c r="A77" s="431"/>
      <c r="B77" s="555">
        <v>2</v>
      </c>
      <c r="C77" s="501">
        <v>2013</v>
      </c>
      <c r="D77" s="502">
        <f>'Table X12 Indices 2012=100'!D77*$D$11</f>
        <v>80.334394899510002</v>
      </c>
      <c r="E77" s="503">
        <f>'Table X12 Indices 2012=100'!E77*$E$11</f>
        <v>80.270485283470009</v>
      </c>
      <c r="F77" s="503">
        <f>'Table X12 Indices 2012=100'!F77*$F$11</f>
        <v>82.622950814879999</v>
      </c>
      <c r="G77" s="503">
        <f>'Table X12 Indices 2012=100'!G77*$G$11</f>
        <v>80.398406374100006</v>
      </c>
      <c r="H77" s="503">
        <f>'Table X12 Indices 2012=100'!H77*$H$11</f>
        <v>80.88</v>
      </c>
      <c r="I77" s="503">
        <f>'Table X12 Indices 2012=100'!I77*$I$11</f>
        <v>81.877022656440005</v>
      </c>
      <c r="J77" s="503">
        <f>'Table X12 Indices 2012=100'!J77*$J$11</f>
        <v>81.475541300559996</v>
      </c>
      <c r="K77" s="503">
        <f>'Table X12 Indices 2012=100'!K77*$K$11</f>
        <v>82.157339820529998</v>
      </c>
      <c r="L77" s="504">
        <f>'Table X12 Indices 2012=100'!L77*$L$11</f>
        <v>79.683794467199988</v>
      </c>
      <c r="M77" s="490"/>
      <c r="N77" s="631"/>
      <c r="O77" s="631"/>
      <c r="P77" s="631"/>
      <c r="Q77" s="629"/>
      <c r="R77" s="631"/>
      <c r="S77" s="631"/>
      <c r="T77" s="631"/>
      <c r="U77" s="631"/>
      <c r="V77" s="629"/>
      <c r="W77" s="629"/>
    </row>
    <row r="78" spans="1:23" ht="18" customHeight="1" x14ac:dyDescent="0.25">
      <c r="A78" s="431"/>
      <c r="B78" s="555">
        <v>3</v>
      </c>
      <c r="C78" s="501">
        <v>2013</v>
      </c>
      <c r="D78" s="502">
        <f>'Table X12 Indices 2012=100'!D78*$D$11</f>
        <v>81.289808912189997</v>
      </c>
      <c r="E78" s="503">
        <f>'Table X12 Indices 2012=100'!E78*$E$11</f>
        <v>81.06603023177</v>
      </c>
      <c r="F78" s="503">
        <f>'Table X12 Indices 2012=100'!F78*$F$11</f>
        <v>83.442622945980006</v>
      </c>
      <c r="G78" s="503">
        <f>'Table X12 Indices 2012=100'!G78*$G$11</f>
        <v>81.274900398</v>
      </c>
      <c r="H78" s="503">
        <f>'Table X12 Indices 2012=100'!H78*$H$11</f>
        <v>81.84</v>
      </c>
      <c r="I78" s="503">
        <f>'Table X12 Indices 2012=100'!I78*$I$11</f>
        <v>82.443365698530016</v>
      </c>
      <c r="J78" s="503">
        <f>'Table X12 Indices 2012=100'!J78*$J$11</f>
        <v>82.518043305390009</v>
      </c>
      <c r="K78" s="503">
        <f>'Table X12 Indices 2012=100'!K78*$K$11</f>
        <v>82.806163827009996</v>
      </c>
      <c r="L78" s="504">
        <f>'Table X12 Indices 2012=100'!L78*$L$11</f>
        <v>80.553359684599997</v>
      </c>
      <c r="M78" s="490"/>
      <c r="N78" s="631"/>
      <c r="O78" s="631"/>
      <c r="P78" s="631"/>
      <c r="Q78" s="629"/>
      <c r="R78" s="631"/>
      <c r="S78" s="631"/>
      <c r="T78" s="631"/>
      <c r="U78" s="631"/>
      <c r="V78" s="629"/>
      <c r="W78" s="629"/>
    </row>
    <row r="79" spans="1:23" ht="18" customHeight="1" x14ac:dyDescent="0.25">
      <c r="A79" s="431"/>
      <c r="B79" s="555">
        <v>4</v>
      </c>
      <c r="C79" s="501">
        <v>2013</v>
      </c>
      <c r="D79" s="502">
        <f>'Table X12 Indices 2012=100'!D79*$D$11</f>
        <v>81.608280249749996</v>
      </c>
      <c r="E79" s="503">
        <f>'Table X12 Indices 2012=100'!E79*$E$11</f>
        <v>81.384248211089997</v>
      </c>
      <c r="F79" s="503">
        <f>'Table X12 Indices 2012=100'!F79*$F$11</f>
        <v>83.852459011530001</v>
      </c>
      <c r="G79" s="503">
        <f>'Table X12 Indices 2012=100'!G79*$G$11</f>
        <v>81.434262947800008</v>
      </c>
      <c r="H79" s="503">
        <f>'Table X12 Indices 2012=100'!H79*$H$11</f>
        <v>82.08</v>
      </c>
      <c r="I79" s="503">
        <f>'Table X12 Indices 2012=100'!I79*$I$11</f>
        <v>82.847896442880014</v>
      </c>
      <c r="J79" s="503">
        <f>'Table X12 Indices 2012=100'!J79*$J$11</f>
        <v>82.758620691120001</v>
      </c>
      <c r="K79" s="503">
        <f>'Table X12 Indices 2012=100'!K79*$K$11</f>
        <v>83.049472829440006</v>
      </c>
      <c r="L79" s="504">
        <f>'Table X12 Indices 2012=100'!L79*$L$11</f>
        <v>80.948616601600008</v>
      </c>
      <c r="M79" s="490"/>
      <c r="N79" s="631"/>
      <c r="O79" s="631"/>
      <c r="P79" s="631"/>
      <c r="Q79" s="629"/>
      <c r="R79" s="631"/>
      <c r="S79" s="631"/>
      <c r="T79" s="631"/>
      <c r="U79" s="631"/>
      <c r="V79" s="629"/>
      <c r="W79" s="629"/>
    </row>
    <row r="80" spans="1:23" ht="18" customHeight="1" x14ac:dyDescent="0.25">
      <c r="A80" s="431"/>
      <c r="B80" s="555">
        <v>5</v>
      </c>
      <c r="C80" s="501">
        <v>2013</v>
      </c>
      <c r="D80" s="502">
        <f>'Table X12 Indices 2012=100'!D80*$D$11</f>
        <v>81.369426746580004</v>
      </c>
      <c r="E80" s="503">
        <f>'Table X12 Indices 2012=100'!E80*$E$11</f>
        <v>81.145584726600006</v>
      </c>
      <c r="F80" s="503">
        <f>'Table X12 Indices 2012=100'!F80*$F$11</f>
        <v>83.688524585310006</v>
      </c>
      <c r="G80" s="503">
        <f>'Table X12 Indices 2012=100'!G80*$G$11</f>
        <v>81.434262947800008</v>
      </c>
      <c r="H80" s="503">
        <f>'Table X12 Indices 2012=100'!H80*$H$11</f>
        <v>81.84</v>
      </c>
      <c r="I80" s="503">
        <f>'Table X12 Indices 2012=100'!I80*$I$11</f>
        <v>82.605177996270001</v>
      </c>
      <c r="J80" s="503">
        <f>'Table X12 Indices 2012=100'!J80*$J$11</f>
        <v>82.518043305390009</v>
      </c>
      <c r="K80" s="503">
        <f>'Table X12 Indices 2012=100'!K80*$K$11</f>
        <v>82.968369828630003</v>
      </c>
      <c r="L80" s="504">
        <f>'Table X12 Indices 2012=100'!L80*$L$11</f>
        <v>80.790513834799995</v>
      </c>
      <c r="M80" s="490"/>
      <c r="N80" s="631"/>
      <c r="O80" s="631"/>
      <c r="P80" s="631"/>
      <c r="Q80" s="629"/>
      <c r="R80" s="631"/>
      <c r="S80" s="631"/>
      <c r="T80" s="631"/>
      <c r="U80" s="631"/>
      <c r="V80" s="629"/>
      <c r="W80" s="629"/>
    </row>
    <row r="81" spans="1:23" ht="18" customHeight="1" x14ac:dyDescent="0.25">
      <c r="A81" s="431"/>
      <c r="B81" s="555">
        <v>6</v>
      </c>
      <c r="C81" s="501">
        <v>2013</v>
      </c>
      <c r="D81" s="502">
        <f>'Table X12 Indices 2012=100'!D81*$D$11</f>
        <v>81.608280249749996</v>
      </c>
      <c r="E81" s="503">
        <f>'Table X12 Indices 2012=100'!E81*$E$11</f>
        <v>81.384248211089997</v>
      </c>
      <c r="F81" s="503">
        <f>'Table X12 Indices 2012=100'!F81*$F$11</f>
        <v>83.934426224640006</v>
      </c>
      <c r="G81" s="503">
        <f>'Table X12 Indices 2012=100'!G81*$G$11</f>
        <v>81.832669322300006</v>
      </c>
      <c r="H81" s="503">
        <f>'Table X12 Indices 2012=100'!H81*$H$11</f>
        <v>82</v>
      </c>
      <c r="I81" s="503">
        <f>'Table X12 Indices 2012=100'!I81*$I$11</f>
        <v>82.76699029401</v>
      </c>
      <c r="J81" s="503">
        <f>'Table X12 Indices 2012=100'!J81*$J$11</f>
        <v>82.838813153030003</v>
      </c>
      <c r="K81" s="503">
        <f>'Table X12 Indices 2012=100'!K81*$K$11</f>
        <v>83.049472829440006</v>
      </c>
      <c r="L81" s="504">
        <f>'Table X12 Indices 2012=100'!L81*$L$11</f>
        <v>80.790513834799995</v>
      </c>
      <c r="M81" s="490"/>
      <c r="N81" s="631"/>
      <c r="O81" s="631"/>
      <c r="P81" s="631"/>
      <c r="Q81" s="629"/>
      <c r="R81" s="631"/>
      <c r="S81" s="631"/>
      <c r="T81" s="631"/>
      <c r="U81" s="631"/>
      <c r="V81" s="629"/>
      <c r="W81" s="629"/>
    </row>
    <row r="82" spans="1:23" ht="18" customHeight="1" x14ac:dyDescent="0.25">
      <c r="A82" s="431"/>
      <c r="B82" s="555">
        <v>7</v>
      </c>
      <c r="C82" s="501">
        <v>2013</v>
      </c>
      <c r="D82" s="502">
        <f>'Table X12 Indices 2012=100'!D82*$D$11</f>
        <v>82.404458593649991</v>
      </c>
      <c r="E82" s="503">
        <f>'Table X12 Indices 2012=100'!E82*$E$11</f>
        <v>82.100238664559996</v>
      </c>
      <c r="F82" s="503">
        <f>'Table X12 Indices 2012=100'!F82*$F$11</f>
        <v>84.836065568850003</v>
      </c>
      <c r="G82" s="503">
        <f>'Table X12 Indices 2012=100'!G82*$G$11</f>
        <v>82.549800796399992</v>
      </c>
      <c r="H82" s="503">
        <f>'Table X12 Indices 2012=100'!H82*$H$11</f>
        <v>82.960000000000008</v>
      </c>
      <c r="I82" s="503">
        <f>'Table X12 Indices 2012=100'!I82*$I$11</f>
        <v>83.414239484969997</v>
      </c>
      <c r="J82" s="503">
        <f>'Table X12 Indices 2012=100'!J82*$J$11</f>
        <v>83.640737772129995</v>
      </c>
      <c r="K82" s="503">
        <f>'Table X12 Indices 2012=100'!K82*$K$11</f>
        <v>83.698296835920004</v>
      </c>
      <c r="L82" s="504">
        <f>'Table X12 Indices 2012=100'!L82*$L$11</f>
        <v>81.818181819000003</v>
      </c>
      <c r="M82" s="490"/>
      <c r="N82" s="631"/>
      <c r="O82" s="631"/>
      <c r="P82" s="631"/>
      <c r="Q82" s="629"/>
      <c r="R82" s="631"/>
      <c r="S82" s="631"/>
      <c r="T82" s="631"/>
      <c r="U82" s="631"/>
      <c r="V82" s="629"/>
      <c r="W82" s="629"/>
    </row>
    <row r="83" spans="1:23" ht="18" customHeight="1" x14ac:dyDescent="0.25">
      <c r="A83" s="431"/>
      <c r="B83" s="555">
        <v>8</v>
      </c>
      <c r="C83" s="501">
        <v>2013</v>
      </c>
      <c r="D83" s="502">
        <f>'Table X12 Indices 2012=100'!D83*$D$11</f>
        <v>82.722929931210004</v>
      </c>
      <c r="E83" s="503">
        <f>'Table X12 Indices 2012=100'!E83*$E$11</f>
        <v>82.33890214905</v>
      </c>
      <c r="F83" s="503">
        <f>'Table X12 Indices 2012=100'!F83*$F$11</f>
        <v>85.245901634399999</v>
      </c>
      <c r="G83" s="503">
        <f>'Table X12 Indices 2012=100'!G83*$G$11</f>
        <v>82.868525895999994</v>
      </c>
      <c r="H83" s="503">
        <f>'Table X12 Indices 2012=100'!H83*$H$11</f>
        <v>83.2</v>
      </c>
      <c r="I83" s="503">
        <f>'Table X12 Indices 2012=100'!I83*$I$11</f>
        <v>83.737864080450009</v>
      </c>
      <c r="J83" s="503">
        <f>'Table X12 Indices 2012=100'!J83*$J$11</f>
        <v>83.881315157860001</v>
      </c>
      <c r="K83" s="503">
        <f>'Table X12 Indices 2012=100'!K83*$K$11</f>
        <v>84.022708839160003</v>
      </c>
      <c r="L83" s="504">
        <f>'Table X12 Indices 2012=100'!L83*$L$11</f>
        <v>82.529644269599999</v>
      </c>
      <c r="M83" s="490"/>
      <c r="N83" s="631"/>
      <c r="O83" s="631"/>
      <c r="P83" s="631"/>
      <c r="Q83" s="629"/>
      <c r="R83" s="631"/>
      <c r="S83" s="631"/>
      <c r="T83" s="631"/>
      <c r="U83" s="631"/>
      <c r="V83" s="629"/>
      <c r="W83" s="629"/>
    </row>
    <row r="84" spans="1:23" ht="18" customHeight="1" x14ac:dyDescent="0.25">
      <c r="A84" s="431"/>
      <c r="B84" s="555">
        <v>9</v>
      </c>
      <c r="C84" s="501">
        <v>2013</v>
      </c>
      <c r="D84" s="502">
        <f>'Table X12 Indices 2012=100'!D84*$D$11</f>
        <v>83.359872606330001</v>
      </c>
      <c r="E84" s="503">
        <f>'Table X12 Indices 2012=100'!E84*$E$11</f>
        <v>82.895783612860001</v>
      </c>
      <c r="F84" s="503">
        <f>'Table X12 Indices 2012=100'!F84*$F$11</f>
        <v>85.573770486840004</v>
      </c>
      <c r="G84" s="503">
        <f>'Table X12 Indices 2012=100'!G84*$G$11</f>
        <v>83.266932270499993</v>
      </c>
      <c r="H84" s="503">
        <f>'Table X12 Indices 2012=100'!H84*$H$11</f>
        <v>83.52000000000001</v>
      </c>
      <c r="I84" s="503">
        <f>'Table X12 Indices 2012=100'!I84*$I$11</f>
        <v>84.142394824800007</v>
      </c>
      <c r="J84" s="503">
        <f>'Table X12 Indices 2012=100'!J84*$J$11</f>
        <v>84.202085005499995</v>
      </c>
      <c r="K84" s="503">
        <f>'Table X12 Indices 2012=100'!K84*$K$11</f>
        <v>84.590429844829998</v>
      </c>
      <c r="L84" s="504">
        <f>'Table X12 Indices 2012=100'!L84*$L$11</f>
        <v>82.766798419799997</v>
      </c>
      <c r="M84" s="490"/>
      <c r="N84" s="631"/>
      <c r="O84" s="631"/>
      <c r="P84" s="631"/>
      <c r="Q84" s="629"/>
      <c r="R84" s="631"/>
      <c r="S84" s="631"/>
      <c r="T84" s="631"/>
      <c r="U84" s="631"/>
      <c r="V84" s="629"/>
      <c r="W84" s="629"/>
    </row>
    <row r="85" spans="1:23" ht="18" customHeight="1" x14ac:dyDescent="0.25">
      <c r="A85" s="431"/>
      <c r="B85" s="555">
        <v>10</v>
      </c>
      <c r="C85" s="501">
        <v>2013</v>
      </c>
      <c r="D85" s="502">
        <f>'Table X12 Indices 2012=100'!D85*$D$11</f>
        <v>83.51910827511</v>
      </c>
      <c r="E85" s="503">
        <f>'Table X12 Indices 2012=100'!E85*$E$11</f>
        <v>83.214001592179997</v>
      </c>
      <c r="F85" s="503">
        <f>'Table X12 Indices 2012=100'!F85*$F$11</f>
        <v>85.655737699950009</v>
      </c>
      <c r="G85" s="503">
        <f>'Table X12 Indices 2012=100'!G85*$G$11</f>
        <v>83.585657370100009</v>
      </c>
      <c r="H85" s="503">
        <f>'Table X12 Indices 2012=100'!H85*$H$11</f>
        <v>83.600000000000009</v>
      </c>
      <c r="I85" s="503">
        <f>'Table X12 Indices 2012=100'!I85*$I$11</f>
        <v>84.385113271410006</v>
      </c>
      <c r="J85" s="503">
        <f>'Table X12 Indices 2012=100'!J85*$J$11</f>
        <v>84.442662391230002</v>
      </c>
      <c r="K85" s="503">
        <f>'Table X12 Indices 2012=100'!K85*$K$11</f>
        <v>84.833738847259994</v>
      </c>
      <c r="L85" s="504">
        <f>'Table X12 Indices 2012=100'!L85*$L$11</f>
        <v>83.003952569999996</v>
      </c>
      <c r="M85" s="490"/>
      <c r="N85" s="631"/>
      <c r="O85" s="631"/>
      <c r="P85" s="631"/>
      <c r="Q85" s="629"/>
      <c r="R85" s="631"/>
      <c r="S85" s="631"/>
      <c r="T85" s="631"/>
      <c r="U85" s="631"/>
      <c r="V85" s="629"/>
      <c r="W85" s="629"/>
    </row>
    <row r="86" spans="1:23" ht="18" customHeight="1" x14ac:dyDescent="0.25">
      <c r="A86" s="431"/>
      <c r="B86" s="555">
        <v>11</v>
      </c>
      <c r="C86" s="501">
        <v>2013</v>
      </c>
      <c r="D86" s="502">
        <f>'Table X12 Indices 2012=100'!D86*$D$11</f>
        <v>83.598726109499992</v>
      </c>
      <c r="E86" s="503">
        <f>'Table X12 Indices 2012=100'!E86*$E$11</f>
        <v>83.293556087010003</v>
      </c>
      <c r="F86" s="503">
        <f>'Table X12 Indices 2012=100'!F86*$F$11</f>
        <v>85.901639339279996</v>
      </c>
      <c r="G86" s="503">
        <f>'Table X12 Indices 2012=100'!G86*$G$11</f>
        <v>83.745019919899988</v>
      </c>
      <c r="H86" s="503">
        <f>'Table X12 Indices 2012=100'!H86*$H$11</f>
        <v>83.68</v>
      </c>
      <c r="I86" s="503">
        <f>'Table X12 Indices 2012=100'!I86*$I$11</f>
        <v>84.546925569150005</v>
      </c>
      <c r="J86" s="503">
        <f>'Table X12 Indices 2012=100'!J86*$J$11</f>
        <v>84.36246992932</v>
      </c>
      <c r="K86" s="503">
        <f>'Table X12 Indices 2012=100'!K86*$K$11</f>
        <v>84.914841848070012</v>
      </c>
      <c r="L86" s="504">
        <f>'Table X12 Indices 2012=100'!L86*$L$11</f>
        <v>83.162055336799995</v>
      </c>
      <c r="M86" s="490"/>
      <c r="N86" s="631"/>
      <c r="O86" s="631"/>
      <c r="P86" s="631"/>
      <c r="Q86" s="629"/>
      <c r="R86" s="631"/>
      <c r="S86" s="631"/>
      <c r="T86" s="631"/>
      <c r="U86" s="631"/>
      <c r="V86" s="629"/>
      <c r="W86" s="629"/>
    </row>
    <row r="87" spans="1:23" ht="18" customHeight="1" x14ac:dyDescent="0.25">
      <c r="A87" s="431"/>
      <c r="B87" s="556">
        <v>12</v>
      </c>
      <c r="C87" s="516">
        <v>2013</v>
      </c>
      <c r="D87" s="517">
        <f>'Table X12 Indices 2012=100'!D87*$D$11</f>
        <v>83.598726109499992</v>
      </c>
      <c r="E87" s="518">
        <f>'Table X12 Indices 2012=100'!E87*$E$11</f>
        <v>83.532219571499994</v>
      </c>
      <c r="F87" s="518">
        <f>'Table X12 Indices 2012=100'!F87*$F$11</f>
        <v>85.983606552390015</v>
      </c>
      <c r="G87" s="518">
        <f>'Table X12 Indices 2012=100'!G87*$G$11</f>
        <v>83.904382469699996</v>
      </c>
      <c r="H87" s="518">
        <f>'Table X12 Indices 2012=100'!H87*$H$11</f>
        <v>84.160000000000011</v>
      </c>
      <c r="I87" s="518">
        <f>'Table X12 Indices 2012=100'!I87*$I$11</f>
        <v>84.708737866890004</v>
      </c>
      <c r="J87" s="518">
        <f>'Table X12 Indices 2012=100'!J87*$J$11</f>
        <v>84.683239776959994</v>
      </c>
      <c r="K87" s="518">
        <f>'Table X12 Indices 2012=100'!K87*$K$11</f>
        <v>85.077047849690004</v>
      </c>
      <c r="L87" s="519">
        <f>'Table X12 Indices 2012=100'!L87*$L$11</f>
        <v>83.241106720199994</v>
      </c>
      <c r="M87" s="490"/>
      <c r="N87" s="631"/>
      <c r="O87" s="631"/>
      <c r="P87" s="631"/>
      <c r="Q87" s="629"/>
      <c r="R87" s="631"/>
      <c r="S87" s="631"/>
      <c r="T87" s="631"/>
      <c r="U87" s="631"/>
      <c r="V87" s="629"/>
      <c r="W87" s="629"/>
    </row>
    <row r="88" spans="1:23" ht="18" customHeight="1" x14ac:dyDescent="0.25">
      <c r="A88" s="431"/>
      <c r="B88" s="566">
        <v>1</v>
      </c>
      <c r="C88" s="529">
        <v>2014</v>
      </c>
      <c r="D88" s="530">
        <f>'Table X12 Indices 2012=100'!D88*$D$11</f>
        <v>84.315286619009996</v>
      </c>
      <c r="E88" s="531">
        <f>'Table X12 Indices 2012=100'!E88*$E$11</f>
        <v>84.089101035310009</v>
      </c>
      <c r="F88" s="531">
        <f>'Table X12 Indices 2012=100'!F88*$F$11</f>
        <v>86.639344257270011</v>
      </c>
      <c r="G88" s="531">
        <f>'Table X12 Indices 2012=100'!G88*$G$11</f>
        <v>84.382470119100006</v>
      </c>
      <c r="H88" s="531">
        <f>'Table X12 Indices 2012=100'!H88*$H$11</f>
        <v>84.800000000000011</v>
      </c>
      <c r="I88" s="531">
        <f>'Table X12 Indices 2012=100'!I88*$I$11</f>
        <v>85.355987057850001</v>
      </c>
      <c r="J88" s="531">
        <f>'Table X12 Indices 2012=100'!J88*$J$11</f>
        <v>85.244587010329994</v>
      </c>
      <c r="K88" s="531">
        <f>'Table X12 Indices 2012=100'!K88*$K$11</f>
        <v>85.644768855359999</v>
      </c>
      <c r="L88" s="532">
        <f>'Table X12 Indices 2012=100'!L88*$L$11</f>
        <v>84.5059288546</v>
      </c>
      <c r="M88" s="490"/>
      <c r="N88" s="631"/>
      <c r="O88" s="631"/>
      <c r="P88" s="631"/>
      <c r="Q88" s="629"/>
      <c r="R88" s="631"/>
      <c r="S88" s="631"/>
      <c r="T88" s="631"/>
      <c r="U88" s="631"/>
      <c r="V88" s="629"/>
      <c r="W88" s="629"/>
    </row>
    <row r="89" spans="1:23" ht="18" customHeight="1" x14ac:dyDescent="0.25">
      <c r="A89" s="431"/>
      <c r="B89" s="555">
        <v>2</v>
      </c>
      <c r="C89" s="501">
        <v>2014</v>
      </c>
      <c r="D89" s="502">
        <f>'Table X12 Indices 2012=100'!D89*$D$11</f>
        <v>84.952229294130007</v>
      </c>
      <c r="E89" s="503">
        <f>'Table X12 Indices 2012=100'!E89*$E$11</f>
        <v>85.123309468100004</v>
      </c>
      <c r="F89" s="503">
        <f>'Table X12 Indices 2012=100'!F89*$F$11</f>
        <v>87.377049175259998</v>
      </c>
      <c r="G89" s="503">
        <f>'Table X12 Indices 2012=100'!G89*$G$11</f>
        <v>85.179282868100003</v>
      </c>
      <c r="H89" s="503">
        <f>'Table X12 Indices 2012=100'!H89*$H$11</f>
        <v>85.600000000000009</v>
      </c>
      <c r="I89" s="503">
        <f>'Table X12 Indices 2012=100'!I89*$I$11</f>
        <v>86.245954695419996</v>
      </c>
      <c r="J89" s="503">
        <f>'Table X12 Indices 2012=100'!J89*$J$11</f>
        <v>86.367281477070009</v>
      </c>
      <c r="K89" s="503">
        <f>'Table X12 Indices 2012=100'!K89*$K$11</f>
        <v>86.536901864270007</v>
      </c>
      <c r="L89" s="504">
        <f>'Table X12 Indices 2012=100'!L89*$L$11</f>
        <v>85.059288538399997</v>
      </c>
      <c r="M89" s="490"/>
      <c r="N89" s="631"/>
      <c r="O89" s="631"/>
      <c r="P89" s="631"/>
      <c r="Q89" s="629"/>
      <c r="R89" s="631"/>
      <c r="S89" s="631"/>
      <c r="T89" s="631"/>
      <c r="U89" s="631"/>
      <c r="V89" s="629"/>
      <c r="W89" s="629"/>
    </row>
    <row r="90" spans="1:23" ht="18" customHeight="1" x14ac:dyDescent="0.25">
      <c r="A90" s="431"/>
      <c r="B90" s="555">
        <v>3</v>
      </c>
      <c r="C90" s="501">
        <v>2014</v>
      </c>
      <c r="D90" s="502">
        <f>'Table X12 Indices 2012=100'!D90*$D$11</f>
        <v>86.146496809979993</v>
      </c>
      <c r="E90" s="503">
        <f>'Table X12 Indices 2012=100'!E90*$E$11</f>
        <v>86.316626890549998</v>
      </c>
      <c r="F90" s="503">
        <f>'Table X12 Indices 2012=100'!F90*$F$11</f>
        <v>88.36065573258</v>
      </c>
      <c r="G90" s="503">
        <f>'Table X12 Indices 2012=100'!G90*$G$11</f>
        <v>86.135458166899994</v>
      </c>
      <c r="H90" s="503">
        <f>'Table X12 Indices 2012=100'!H90*$H$11</f>
        <v>86.960000000000008</v>
      </c>
      <c r="I90" s="503">
        <f>'Table X12 Indices 2012=100'!I90*$I$11</f>
        <v>87.135922332990006</v>
      </c>
      <c r="J90" s="503">
        <f>'Table X12 Indices 2012=100'!J90*$J$11</f>
        <v>87.489975943809995</v>
      </c>
      <c r="K90" s="503">
        <f>'Table X12 Indices 2012=100'!K90*$K$11</f>
        <v>87.510137873990004</v>
      </c>
      <c r="L90" s="504">
        <f>'Table X12 Indices 2012=100'!L90*$L$11</f>
        <v>86.324110672800003</v>
      </c>
      <c r="M90" s="490"/>
      <c r="N90" s="631"/>
      <c r="O90" s="631"/>
      <c r="P90" s="631"/>
      <c r="Q90" s="629"/>
      <c r="R90" s="631"/>
      <c r="S90" s="631"/>
      <c r="T90" s="631"/>
      <c r="U90" s="631"/>
      <c r="V90" s="629"/>
      <c r="W90" s="629"/>
    </row>
    <row r="91" spans="1:23" ht="18" customHeight="1" x14ac:dyDescent="0.25">
      <c r="A91" s="431"/>
      <c r="B91" s="555">
        <v>4</v>
      </c>
      <c r="C91" s="501">
        <v>2014</v>
      </c>
      <c r="D91" s="502">
        <f>'Table X12 Indices 2012=100'!D91*$D$11</f>
        <v>86.385350313149999</v>
      </c>
      <c r="E91" s="503">
        <f>'Table X12 Indices 2012=100'!E91*$E$11</f>
        <v>86.7143993647</v>
      </c>
      <c r="F91" s="503">
        <f>'Table X12 Indices 2012=100'!F91*$F$11</f>
        <v>88.770491798129996</v>
      </c>
      <c r="G91" s="503">
        <f>'Table X12 Indices 2012=100'!G91*$G$11</f>
        <v>86.613545816300004</v>
      </c>
      <c r="H91" s="503">
        <f>'Table X12 Indices 2012=100'!H91*$H$11</f>
        <v>87.600000000000009</v>
      </c>
      <c r="I91" s="503">
        <f>'Table X12 Indices 2012=100'!I91*$I$11</f>
        <v>87.540453077340004</v>
      </c>
      <c r="J91" s="503">
        <f>'Table X12 Indices 2012=100'!J91*$J$11</f>
        <v>87.890938253359991</v>
      </c>
      <c r="K91" s="503">
        <f>'Table X12 Indices 2012=100'!K91*$K$11</f>
        <v>87.915652878040007</v>
      </c>
      <c r="L91" s="504">
        <f>'Table X12 Indices 2012=100'!L91*$L$11</f>
        <v>86.482213439600002</v>
      </c>
      <c r="M91" s="490"/>
      <c r="N91" s="631"/>
      <c r="O91" s="631"/>
      <c r="P91" s="631"/>
      <c r="Q91" s="629"/>
      <c r="R91" s="631"/>
      <c r="S91" s="631"/>
      <c r="T91" s="631"/>
      <c r="U91" s="631"/>
      <c r="V91" s="629"/>
      <c r="W91" s="629"/>
    </row>
    <row r="92" spans="1:23" ht="18" customHeight="1" x14ac:dyDescent="0.25">
      <c r="A92" s="431"/>
      <c r="B92" s="555">
        <v>5</v>
      </c>
      <c r="C92" s="501">
        <v>2014</v>
      </c>
      <c r="D92" s="502">
        <f>'Table X12 Indices 2012=100'!D92*$D$11</f>
        <v>86.703821650709997</v>
      </c>
      <c r="E92" s="503">
        <f>'Table X12 Indices 2012=100'!E92*$E$11</f>
        <v>86.793953859529992</v>
      </c>
      <c r="F92" s="503">
        <f>'Table X12 Indices 2012=100'!F92*$F$11</f>
        <v>89.016393437459996</v>
      </c>
      <c r="G92" s="503">
        <f>'Table X12 Indices 2012=100'!G92*$G$11</f>
        <v>86.772908366099998</v>
      </c>
      <c r="H92" s="503">
        <f>'Table X12 Indices 2012=100'!H92*$H$11</f>
        <v>87.68</v>
      </c>
      <c r="I92" s="503">
        <f>'Table X12 Indices 2012=100'!I92*$I$11</f>
        <v>87.864077672820002</v>
      </c>
      <c r="J92" s="503">
        <f>'Table X12 Indices 2012=100'!J92*$J$11</f>
        <v>87.971130715270007</v>
      </c>
      <c r="K92" s="503">
        <f>'Table X12 Indices 2012=100'!K92*$K$11</f>
        <v>88.321167882090009</v>
      </c>
      <c r="L92" s="504">
        <f>'Table X12 Indices 2012=100'!L92*$L$11</f>
        <v>87.114624506799998</v>
      </c>
      <c r="M92" s="490"/>
      <c r="N92" s="631"/>
      <c r="O92" s="631"/>
      <c r="P92" s="631"/>
      <c r="Q92" s="629"/>
      <c r="R92" s="631"/>
      <c r="S92" s="631"/>
      <c r="T92" s="631"/>
      <c r="U92" s="631"/>
      <c r="V92" s="629"/>
      <c r="W92" s="629"/>
    </row>
    <row r="93" spans="1:23" ht="18" customHeight="1" x14ac:dyDescent="0.25">
      <c r="A93" s="431"/>
      <c r="B93" s="555">
        <v>6</v>
      </c>
      <c r="C93" s="501">
        <v>2014</v>
      </c>
      <c r="D93" s="502">
        <f>'Table X12 Indices 2012=100'!D93*$D$11</f>
        <v>86.942675153880003</v>
      </c>
      <c r="E93" s="503">
        <f>'Table X12 Indices 2012=100'!E93*$E$11</f>
        <v>86.953062849190005</v>
      </c>
      <c r="F93" s="503">
        <f>'Table X12 Indices 2012=100'!F93*$F$11</f>
        <v>89.344262289900001</v>
      </c>
      <c r="G93" s="503">
        <f>'Table X12 Indices 2012=100'!G93*$G$11</f>
        <v>87.171314740599996</v>
      </c>
      <c r="H93" s="503">
        <f>'Table X12 Indices 2012=100'!H93*$H$11</f>
        <v>87.920000000000016</v>
      </c>
      <c r="I93" s="503">
        <f>'Table X12 Indices 2012=100'!I93*$I$11</f>
        <v>88.673139161519998</v>
      </c>
      <c r="J93" s="503">
        <f>'Table X12 Indices 2012=100'!J93*$J$11</f>
        <v>88.291900562910001</v>
      </c>
      <c r="K93" s="503">
        <f>'Table X12 Indices 2012=100'!K93*$K$11</f>
        <v>88.483373883710001</v>
      </c>
      <c r="L93" s="504">
        <f>'Table X12 Indices 2012=100'!L93*$L$11</f>
        <v>87.509881423799996</v>
      </c>
      <c r="M93" s="490"/>
      <c r="N93" s="631"/>
      <c r="O93" s="631"/>
      <c r="P93" s="631"/>
      <c r="Q93" s="629"/>
      <c r="R93" s="631"/>
      <c r="S93" s="631"/>
      <c r="T93" s="631"/>
      <c r="U93" s="631"/>
      <c r="V93" s="629"/>
      <c r="W93" s="629"/>
    </row>
    <row r="94" spans="1:23" ht="18" customHeight="1" x14ac:dyDescent="0.25">
      <c r="A94" s="431"/>
      <c r="B94" s="555">
        <v>7</v>
      </c>
      <c r="C94" s="501">
        <v>2014</v>
      </c>
      <c r="D94" s="502">
        <f>'Table X12 Indices 2012=100'!D94*$D$11</f>
        <v>87.738853497779999</v>
      </c>
      <c r="E94" s="503">
        <f>'Table X12 Indices 2012=100'!E94*$E$11</f>
        <v>87.669053302660004</v>
      </c>
      <c r="F94" s="503">
        <f>'Table X12 Indices 2012=100'!F94*$F$11</f>
        <v>90.491803273440013</v>
      </c>
      <c r="G94" s="503">
        <f>'Table X12 Indices 2012=100'!G94*$G$11</f>
        <v>87.729083664899989</v>
      </c>
      <c r="H94" s="503">
        <f>'Table X12 Indices 2012=100'!H94*$H$11</f>
        <v>88.56</v>
      </c>
      <c r="I94" s="503">
        <f>'Table X12 Indices 2012=100'!I94*$I$11</f>
        <v>89.401294501350009</v>
      </c>
      <c r="J94" s="503">
        <f>'Table X12 Indices 2012=100'!J94*$J$11</f>
        <v>88.933440258190004</v>
      </c>
      <c r="K94" s="503">
        <f>'Table X12 Indices 2012=100'!K94*$K$11</f>
        <v>88.888888887760004</v>
      </c>
      <c r="L94" s="504">
        <f>'Table X12 Indices 2012=100'!L94*$L$11</f>
        <v>87.984189724199993</v>
      </c>
      <c r="M94" s="490"/>
      <c r="N94" s="631"/>
      <c r="O94" s="631"/>
      <c r="P94" s="631"/>
      <c r="Q94" s="629"/>
      <c r="R94" s="631"/>
      <c r="S94" s="631"/>
      <c r="T94" s="631"/>
      <c r="U94" s="631"/>
      <c r="V94" s="629"/>
      <c r="W94" s="629"/>
    </row>
    <row r="95" spans="1:23" ht="18" customHeight="1" x14ac:dyDescent="0.25">
      <c r="A95" s="431"/>
      <c r="B95" s="555">
        <v>8</v>
      </c>
      <c r="C95" s="501">
        <v>2014</v>
      </c>
      <c r="D95" s="502">
        <f>'Table X12 Indices 2012=100'!D95*$D$11</f>
        <v>87.977707000949991</v>
      </c>
      <c r="E95" s="503">
        <f>'Table X12 Indices 2012=100'!E95*$E$11</f>
        <v>87.828162292320002</v>
      </c>
      <c r="F95" s="503">
        <f>'Table X12 Indices 2012=100'!F95*$F$11</f>
        <v>90.573770486550004</v>
      </c>
      <c r="G95" s="503">
        <f>'Table X12 Indices 2012=100'!G95*$G$11</f>
        <v>88.047808764500004</v>
      </c>
      <c r="H95" s="503">
        <f>'Table X12 Indices 2012=100'!H95*$H$11</f>
        <v>88.800000000000011</v>
      </c>
      <c r="I95" s="503">
        <f>'Table X12 Indices 2012=100'!I95*$I$11</f>
        <v>89.482200650220008</v>
      </c>
      <c r="J95" s="503">
        <f>'Table X12 Indices 2012=100'!J95*$J$11</f>
        <v>89.254210105829998</v>
      </c>
      <c r="K95" s="503">
        <f>'Table X12 Indices 2012=100'!K95*$K$11</f>
        <v>89.456609893429999</v>
      </c>
      <c r="L95" s="504">
        <f>'Table X12 Indices 2012=100'!L95*$L$11</f>
        <v>88.221343874399992</v>
      </c>
      <c r="M95" s="490"/>
      <c r="N95" s="631"/>
      <c r="O95" s="631"/>
      <c r="P95" s="631"/>
      <c r="Q95" s="629"/>
      <c r="R95" s="631"/>
      <c r="S95" s="631"/>
      <c r="T95" s="631"/>
      <c r="U95" s="631"/>
      <c r="V95" s="629"/>
      <c r="W95" s="629"/>
    </row>
    <row r="96" spans="1:23" ht="18" customHeight="1" x14ac:dyDescent="0.25">
      <c r="A96" s="431"/>
      <c r="B96" s="555">
        <v>9</v>
      </c>
      <c r="C96" s="501">
        <v>2014</v>
      </c>
      <c r="D96" s="502">
        <f>'Table X12 Indices 2012=100'!D96*$D$11</f>
        <v>88.296178338510003</v>
      </c>
      <c r="E96" s="503">
        <f>'Table X12 Indices 2012=100'!E96*$E$11</f>
        <v>88.066825776810006</v>
      </c>
      <c r="F96" s="503">
        <f>'Table X12 Indices 2012=100'!F96*$F$11</f>
        <v>90.737704912769999</v>
      </c>
      <c r="G96" s="503">
        <f>'Table X12 Indices 2012=100'!G96*$G$11</f>
        <v>88.047808764500004</v>
      </c>
      <c r="H96" s="503">
        <f>'Table X12 Indices 2012=100'!H96*$H$11</f>
        <v>88.720000000000013</v>
      </c>
      <c r="I96" s="503">
        <f>'Table X12 Indices 2012=100'!I96*$I$11</f>
        <v>89.482200650220008</v>
      </c>
      <c r="J96" s="503">
        <f>'Table X12 Indices 2012=100'!J96*$J$11</f>
        <v>89.17401764392001</v>
      </c>
      <c r="K96" s="503">
        <f>'Table X12 Indices 2012=100'!K96*$K$11</f>
        <v>89.456609893429999</v>
      </c>
      <c r="L96" s="504">
        <f>'Table X12 Indices 2012=100'!L96*$L$11</f>
        <v>88.221343874399992</v>
      </c>
      <c r="M96" s="490"/>
      <c r="N96" s="631"/>
      <c r="O96" s="631"/>
      <c r="P96" s="631"/>
      <c r="Q96" s="629"/>
      <c r="R96" s="631"/>
      <c r="S96" s="631"/>
      <c r="T96" s="631"/>
      <c r="U96" s="631"/>
      <c r="V96" s="629"/>
      <c r="W96" s="629"/>
    </row>
    <row r="97" spans="1:23" ht="18" customHeight="1" x14ac:dyDescent="0.25">
      <c r="A97" s="431"/>
      <c r="B97" s="555">
        <v>10</v>
      </c>
      <c r="C97" s="501">
        <v>2014</v>
      </c>
      <c r="D97" s="502">
        <f>'Table X12 Indices 2012=100'!D97*$D$11</f>
        <v>88.535031841679995</v>
      </c>
      <c r="E97" s="503">
        <f>'Table X12 Indices 2012=100'!E97*$E$11</f>
        <v>87.98727128198</v>
      </c>
      <c r="F97" s="503">
        <f>'Table X12 Indices 2012=100'!F97*$F$11</f>
        <v>90.655737699659994</v>
      </c>
      <c r="G97" s="503">
        <f>'Table X12 Indices 2012=100'!G97*$G$11</f>
        <v>88.207171314299998</v>
      </c>
      <c r="H97" s="503">
        <f>'Table X12 Indices 2012=100'!H97*$H$11</f>
        <v>88.800000000000011</v>
      </c>
      <c r="I97" s="503">
        <f>'Table X12 Indices 2012=100'!I97*$I$11</f>
        <v>89.563106799090008</v>
      </c>
      <c r="J97" s="503">
        <f>'Table X12 Indices 2012=100'!J97*$J$11</f>
        <v>89.33440256774</v>
      </c>
      <c r="K97" s="503">
        <f>'Table X12 Indices 2012=100'!K97*$K$11</f>
        <v>89.618815895050005</v>
      </c>
      <c r="L97" s="504">
        <f>'Table X12 Indices 2012=100'!L97*$L$11</f>
        <v>88.221343874399992</v>
      </c>
      <c r="M97" s="490"/>
      <c r="N97" s="631"/>
      <c r="O97" s="631"/>
      <c r="P97" s="631"/>
      <c r="Q97" s="629"/>
      <c r="R97" s="631"/>
      <c r="S97" s="631"/>
      <c r="T97" s="631"/>
      <c r="U97" s="631"/>
      <c r="V97" s="629"/>
      <c r="W97" s="629"/>
    </row>
    <row r="98" spans="1:23" ht="18" customHeight="1" x14ac:dyDescent="0.25">
      <c r="A98" s="431"/>
      <c r="B98" s="555">
        <v>11</v>
      </c>
      <c r="C98" s="501">
        <v>2014</v>
      </c>
      <c r="D98" s="502">
        <f>'Table X12 Indices 2012=100'!D98*$D$11</f>
        <v>88.694267510460008</v>
      </c>
      <c r="E98" s="503">
        <f>'Table X12 Indices 2012=100'!E98*$E$11</f>
        <v>88.066825776810006</v>
      </c>
      <c r="F98" s="503">
        <f>'Table X12 Indices 2012=100'!F98*$F$11</f>
        <v>90.819672125880004</v>
      </c>
      <c r="G98" s="503">
        <f>'Table X12 Indices 2012=100'!G98*$G$11</f>
        <v>88.366533864100006</v>
      </c>
      <c r="H98" s="503">
        <f>'Table X12 Indices 2012=100'!H98*$H$11</f>
        <v>88.720000000000013</v>
      </c>
      <c r="I98" s="503">
        <f>'Table X12 Indices 2012=100'!I98*$I$11</f>
        <v>89.401294501350009</v>
      </c>
      <c r="J98" s="503">
        <f>'Table X12 Indices 2012=100'!J98*$J$11</f>
        <v>89.33440256774</v>
      </c>
      <c r="K98" s="503">
        <f>'Table X12 Indices 2012=100'!K98*$K$11</f>
        <v>89.618815895050005</v>
      </c>
      <c r="L98" s="504">
        <f>'Table X12 Indices 2012=100'!L98*$L$11</f>
        <v>88.379446641199991</v>
      </c>
      <c r="M98" s="490"/>
      <c r="N98" s="631"/>
      <c r="O98" s="631"/>
      <c r="P98" s="631"/>
      <c r="Q98" s="629"/>
      <c r="R98" s="631"/>
      <c r="S98" s="631"/>
      <c r="T98" s="631"/>
      <c r="U98" s="631"/>
      <c r="V98" s="629"/>
      <c r="W98" s="629"/>
    </row>
    <row r="99" spans="1:23" ht="18" customHeight="1" x14ac:dyDescent="0.25">
      <c r="A99" s="431"/>
      <c r="B99" s="556">
        <v>12</v>
      </c>
      <c r="C99" s="516">
        <v>2014</v>
      </c>
      <c r="D99" s="517">
        <f>'Table X12 Indices 2012=100'!D99*$D$11</f>
        <v>88.535031841679995</v>
      </c>
      <c r="E99" s="518">
        <f>'Table X12 Indices 2012=100'!E99*$E$11</f>
        <v>88.066825776810006</v>
      </c>
      <c r="F99" s="518">
        <f>'Table X12 Indices 2012=100'!F99*$F$11</f>
        <v>90.491803273440013</v>
      </c>
      <c r="G99" s="518">
        <f>'Table X12 Indices 2012=100'!G99*$G$11</f>
        <v>88.207171314299998</v>
      </c>
      <c r="H99" s="518">
        <f>'Table X12 Indices 2012=100'!H99*$H$11</f>
        <v>88.64</v>
      </c>
      <c r="I99" s="518">
        <f>'Table X12 Indices 2012=100'!I99*$I$11</f>
        <v>89.15857605474001</v>
      </c>
      <c r="J99" s="518">
        <f>'Table X12 Indices 2012=100'!J99*$J$11</f>
        <v>89.093825182009994</v>
      </c>
      <c r="K99" s="518">
        <f>'Table X12 Indices 2012=100'!K99*$K$11</f>
        <v>89.456609893429999</v>
      </c>
      <c r="L99" s="519">
        <f>'Table X12 Indices 2012=100'!L99*$L$11</f>
        <v>88.142292490999992</v>
      </c>
      <c r="M99" s="490"/>
      <c r="N99" s="631"/>
      <c r="O99" s="631"/>
      <c r="P99" s="631"/>
      <c r="Q99" s="629"/>
      <c r="R99" s="631"/>
      <c r="S99" s="631"/>
      <c r="T99" s="631"/>
      <c r="U99" s="631"/>
      <c r="V99" s="629"/>
      <c r="W99" s="629"/>
    </row>
    <row r="100" spans="1:23" ht="18" customHeight="1" x14ac:dyDescent="0.25">
      <c r="A100" s="431"/>
      <c r="B100" s="566">
        <v>1</v>
      </c>
      <c r="C100" s="529">
        <v>2015</v>
      </c>
      <c r="D100" s="530">
        <f>'Table X12 Indices 2012=100'!D100*$D$11</f>
        <v>88.455414007289988</v>
      </c>
      <c r="E100" s="531">
        <f>'Table X12 Indices 2012=100'!E100*$E$11</f>
        <v>88.146380271639998</v>
      </c>
      <c r="F100" s="531">
        <f>'Table X12 Indices 2012=100'!F100*$F$11</f>
        <v>90.327868847220003</v>
      </c>
      <c r="G100" s="531">
        <f>'Table X12 Indices 2012=100'!G100*$G$11</f>
        <v>88.286852589199995</v>
      </c>
      <c r="H100" s="531">
        <f>'Table X12 Indices 2012=100'!H100*$H$11</f>
        <v>88.4</v>
      </c>
      <c r="I100" s="531">
        <f>'Table X12 Indices 2012=100'!I100*$I$11</f>
        <v>89.15857605474001</v>
      </c>
      <c r="J100" s="531">
        <f>'Table X12 Indices 2012=100'!J100*$J$11</f>
        <v>88.933440258190004</v>
      </c>
      <c r="K100" s="531">
        <f>'Table X12 Indices 2012=100'!K100*$K$11</f>
        <v>89.456609893429999</v>
      </c>
      <c r="L100" s="532">
        <f>'Table X12 Indices 2012=100'!L100*$L$11</f>
        <v>87.905138340799994</v>
      </c>
      <c r="M100" s="490"/>
      <c r="N100" s="631"/>
      <c r="O100" s="631"/>
      <c r="P100" s="631"/>
      <c r="Q100" s="629"/>
      <c r="R100" s="631"/>
      <c r="S100" s="631"/>
      <c r="T100" s="631"/>
      <c r="U100" s="631"/>
      <c r="V100" s="629"/>
      <c r="W100" s="629"/>
    </row>
    <row r="101" spans="1:23" ht="18" customHeight="1" x14ac:dyDescent="0.25">
      <c r="A101" s="431"/>
      <c r="B101" s="555">
        <v>2</v>
      </c>
      <c r="C101" s="501">
        <v>2015</v>
      </c>
      <c r="D101" s="502">
        <f>'Table X12 Indices 2012=100'!D101*$D$11</f>
        <v>88.773885344850001</v>
      </c>
      <c r="E101" s="503">
        <f>'Table X12 Indices 2012=100'!E101*$E$11</f>
        <v>88.544152745790001</v>
      </c>
      <c r="F101" s="503">
        <f>'Table X12 Indices 2012=100'!F101*$F$11</f>
        <v>90.819672125880004</v>
      </c>
      <c r="G101" s="503">
        <f>'Table X12 Indices 2012=100'!G101*$G$11</f>
        <v>88.764940238600005</v>
      </c>
      <c r="H101" s="503">
        <f>'Table X12 Indices 2012=100'!H101*$H$11</f>
        <v>88.800000000000011</v>
      </c>
      <c r="I101" s="503">
        <f>'Table X12 Indices 2012=100'!I101*$I$11</f>
        <v>89.805825245700007</v>
      </c>
      <c r="J101" s="503">
        <f>'Table X12 Indices 2012=100'!J101*$J$11</f>
        <v>89.655172415379994</v>
      </c>
      <c r="K101" s="503">
        <f>'Table X12 Indices 2012=100'!K101*$K$11</f>
        <v>90.024330899100008</v>
      </c>
      <c r="L101" s="504">
        <f>'Table X12 Indices 2012=100'!L101*$L$11</f>
        <v>88.300395257800005</v>
      </c>
      <c r="M101" s="490"/>
      <c r="N101" s="631"/>
      <c r="O101" s="631"/>
      <c r="P101" s="631"/>
      <c r="Q101" s="629"/>
      <c r="R101" s="631"/>
      <c r="S101" s="631"/>
      <c r="T101" s="631"/>
      <c r="U101" s="631"/>
      <c r="V101" s="629"/>
      <c r="W101" s="629"/>
    </row>
    <row r="102" spans="1:23" ht="18" customHeight="1" x14ac:dyDescent="0.25">
      <c r="A102" s="431"/>
      <c r="B102" s="555">
        <v>3</v>
      </c>
      <c r="C102" s="501">
        <v>2015</v>
      </c>
      <c r="D102" s="502">
        <f>'Table X12 Indices 2012=100'!D102*$D$11</f>
        <v>90.047770695089994</v>
      </c>
      <c r="E102" s="503">
        <f>'Table X12 Indices 2012=100'!E102*$E$11</f>
        <v>89.419252188919998</v>
      </c>
      <c r="F102" s="503">
        <f>'Table X12 Indices 2012=100'!F102*$F$11</f>
        <v>92.213114748750002</v>
      </c>
      <c r="G102" s="503">
        <f>'Table X12 Indices 2012=100'!G102*$G$11</f>
        <v>90.039840636999998</v>
      </c>
      <c r="H102" s="503">
        <f>'Table X12 Indices 2012=100'!H102*$H$11</f>
        <v>90</v>
      </c>
      <c r="I102" s="503">
        <f>'Table X12 Indices 2012=100'!I102*$I$11</f>
        <v>90.857605181010001</v>
      </c>
      <c r="J102" s="503">
        <f>'Table X12 Indices 2012=100'!J102*$J$11</f>
        <v>90.938251805940013</v>
      </c>
      <c r="K102" s="503">
        <f>'Table X12 Indices 2012=100'!K102*$K$11</f>
        <v>90.916463908010002</v>
      </c>
      <c r="L102" s="504">
        <f>'Table X12 Indices 2012=100'!L102*$L$11</f>
        <v>89.328063241999999</v>
      </c>
      <c r="M102" s="490"/>
      <c r="N102" s="631"/>
      <c r="O102" s="631"/>
      <c r="P102" s="631"/>
      <c r="Q102" s="629"/>
      <c r="R102" s="631"/>
      <c r="S102" s="631"/>
      <c r="T102" s="631"/>
      <c r="U102" s="631"/>
      <c r="V102" s="629"/>
      <c r="W102" s="629"/>
    </row>
    <row r="103" spans="1:23" ht="18" customHeight="1" x14ac:dyDescent="0.25">
      <c r="A103" s="431"/>
      <c r="B103" s="555">
        <v>4</v>
      </c>
      <c r="C103" s="501">
        <v>2015</v>
      </c>
      <c r="D103" s="502">
        <f>'Table X12 Indices 2012=100'!D103*$D$11</f>
        <v>90.84394903898999</v>
      </c>
      <c r="E103" s="503">
        <f>'Table X12 Indices 2012=100'!E103*$E$11</f>
        <v>90.453460621710008</v>
      </c>
      <c r="F103" s="503">
        <f>'Table X12 Indices 2012=100'!F103*$F$11</f>
        <v>93.114754092959998</v>
      </c>
      <c r="G103" s="503">
        <f>'Table X12 Indices 2012=100'!G103*$G$11</f>
        <v>90.916334660899992</v>
      </c>
      <c r="H103" s="503">
        <f>'Table X12 Indices 2012=100'!H103*$H$11</f>
        <v>90.720000000000013</v>
      </c>
      <c r="I103" s="503">
        <f>'Table X12 Indices 2012=100'!I103*$I$11</f>
        <v>91.747572818580011</v>
      </c>
      <c r="J103" s="503">
        <f>'Table X12 Indices 2012=100'!J103*$J$11</f>
        <v>91.740176425040005</v>
      </c>
      <c r="K103" s="503">
        <f>'Table X12 Indices 2012=100'!K103*$K$11</f>
        <v>91.727493916109992</v>
      </c>
      <c r="L103" s="504">
        <f>'Table X12 Indices 2012=100'!L103*$L$11</f>
        <v>90.197628459399994</v>
      </c>
      <c r="M103" s="490"/>
      <c r="N103" s="631"/>
      <c r="O103" s="631"/>
      <c r="P103" s="631"/>
      <c r="Q103" s="629"/>
      <c r="R103" s="631"/>
      <c r="S103" s="631"/>
      <c r="T103" s="631"/>
      <c r="U103" s="631"/>
      <c r="V103" s="629"/>
      <c r="W103" s="629"/>
    </row>
    <row r="104" spans="1:23" ht="18" customHeight="1" x14ac:dyDescent="0.25">
      <c r="A104" s="431"/>
      <c r="B104" s="555">
        <v>5</v>
      </c>
      <c r="C104" s="501">
        <v>2015</v>
      </c>
      <c r="D104" s="502">
        <f>'Table X12 Indices 2012=100'!D104*$D$11</f>
        <v>91.082802542159996</v>
      </c>
      <c r="E104" s="503">
        <f>'Table X12 Indices 2012=100'!E104*$E$11</f>
        <v>90.612569611370006</v>
      </c>
      <c r="F104" s="503">
        <f>'Table X12 Indices 2012=100'!F104*$F$11</f>
        <v>93.278688519180008</v>
      </c>
      <c r="G104" s="503">
        <f>'Table X12 Indices 2012=100'!G104*$G$11</f>
        <v>91.155378485599996</v>
      </c>
      <c r="H104" s="503">
        <f>'Table X12 Indices 2012=100'!H104*$H$11</f>
        <v>90.960000000000008</v>
      </c>
      <c r="I104" s="503">
        <f>'Table X12 Indices 2012=100'!I104*$I$11</f>
        <v>91.82847896745001</v>
      </c>
      <c r="J104" s="503">
        <f>'Table X12 Indices 2012=100'!J104*$J$11</f>
        <v>92.060946272679999</v>
      </c>
      <c r="K104" s="503">
        <f>'Table X12 Indices 2012=100'!K104*$K$11</f>
        <v>92.051905919350006</v>
      </c>
      <c r="L104" s="504">
        <f>'Table X12 Indices 2012=100'!L104*$L$11</f>
        <v>90.118577075999994</v>
      </c>
      <c r="M104" s="490"/>
      <c r="N104" s="631"/>
      <c r="O104" s="631"/>
      <c r="P104" s="631"/>
      <c r="Q104" s="629"/>
      <c r="R104" s="631"/>
      <c r="S104" s="631"/>
      <c r="T104" s="631"/>
      <c r="U104" s="631"/>
      <c r="V104" s="629"/>
      <c r="W104" s="629"/>
    </row>
    <row r="105" spans="1:23" ht="18" customHeight="1" x14ac:dyDescent="0.25">
      <c r="A105" s="431"/>
      <c r="B105" s="555">
        <v>6</v>
      </c>
      <c r="C105" s="501">
        <v>2015</v>
      </c>
      <c r="D105" s="502">
        <f>'Table X12 Indices 2012=100'!D105*$D$11</f>
        <v>91.401273879719994</v>
      </c>
      <c r="E105" s="503">
        <f>'Table X12 Indices 2012=100'!E105*$E$11</f>
        <v>90.930787590690002</v>
      </c>
      <c r="F105" s="503">
        <f>'Table X12 Indices 2012=100'!F105*$F$11</f>
        <v>93.442622945400004</v>
      </c>
      <c r="G105" s="503">
        <f>'Table X12 Indices 2012=100'!G105*$G$11</f>
        <v>91.474103585199998</v>
      </c>
      <c r="H105" s="503">
        <f>'Table X12 Indices 2012=100'!H105*$H$11</f>
        <v>91.360000000000014</v>
      </c>
      <c r="I105" s="503">
        <f>'Table X12 Indices 2012=100'!I105*$I$11</f>
        <v>92.233009711800008</v>
      </c>
      <c r="J105" s="503">
        <f>'Table X12 Indices 2012=100'!J105*$J$11</f>
        <v>92.381716120320007</v>
      </c>
      <c r="K105" s="503">
        <f>'Table X12 Indices 2012=100'!K105*$K$11</f>
        <v>92.457420923400008</v>
      </c>
      <c r="L105" s="504">
        <f>'Table X12 Indices 2012=100'!L105*$L$11</f>
        <v>90.988142293399989</v>
      </c>
      <c r="M105" s="490"/>
      <c r="N105" s="631"/>
      <c r="O105" s="631"/>
      <c r="P105" s="631"/>
      <c r="Q105" s="629"/>
      <c r="R105" s="631"/>
      <c r="S105" s="631"/>
      <c r="T105" s="631"/>
      <c r="U105" s="631"/>
      <c r="V105" s="629"/>
      <c r="W105" s="629"/>
    </row>
    <row r="106" spans="1:23" ht="18" customHeight="1" x14ac:dyDescent="0.25">
      <c r="A106" s="431"/>
      <c r="B106" s="555">
        <v>7</v>
      </c>
      <c r="C106" s="501">
        <v>2015</v>
      </c>
      <c r="D106" s="502">
        <f>'Table X12 Indices 2012=100'!D106*$D$11</f>
        <v>92.277070058009997</v>
      </c>
      <c r="E106" s="503">
        <f>'Table X12 Indices 2012=100'!E106*$E$11</f>
        <v>91.726332538989993</v>
      </c>
      <c r="F106" s="503">
        <f>'Table X12 Indices 2012=100'!F106*$F$11</f>
        <v>94.672131142050006</v>
      </c>
      <c r="G106" s="503">
        <f>'Table X12 Indices 2012=100'!G106*$G$11</f>
        <v>92.430278884000003</v>
      </c>
      <c r="H106" s="503">
        <f>'Table X12 Indices 2012=100'!H106*$H$11</f>
        <v>92.4</v>
      </c>
      <c r="I106" s="503">
        <f>'Table X12 Indices 2012=100'!I106*$I$11</f>
        <v>93.042071200500004</v>
      </c>
      <c r="J106" s="503">
        <f>'Table X12 Indices 2012=100'!J106*$J$11</f>
        <v>93.263833201330002</v>
      </c>
      <c r="K106" s="503">
        <f>'Table X12 Indices 2012=100'!K106*$K$11</f>
        <v>93.106244929880006</v>
      </c>
      <c r="L106" s="504">
        <f>'Table X12 Indices 2012=100'!L106*$L$11</f>
        <v>91.304347827000001</v>
      </c>
      <c r="M106" s="490"/>
      <c r="N106" s="631"/>
      <c r="O106" s="631"/>
      <c r="P106" s="631"/>
      <c r="Q106" s="629"/>
      <c r="R106" s="631"/>
      <c r="S106" s="631"/>
      <c r="T106" s="631"/>
      <c r="U106" s="631"/>
      <c r="V106" s="629"/>
      <c r="W106" s="629"/>
    </row>
    <row r="107" spans="1:23" ht="18" customHeight="1" x14ac:dyDescent="0.25">
      <c r="A107" s="431"/>
      <c r="B107" s="555">
        <v>8</v>
      </c>
      <c r="C107" s="501">
        <v>2015</v>
      </c>
      <c r="D107" s="502">
        <f>'Table X12 Indices 2012=100'!D107*$D$11</f>
        <v>92.277070058009997</v>
      </c>
      <c r="E107" s="503">
        <f>'Table X12 Indices 2012=100'!E107*$E$11</f>
        <v>92.044550518310004</v>
      </c>
      <c r="F107" s="503">
        <f>'Table X12 Indices 2012=100'!F107*$F$11</f>
        <v>94.672131142050006</v>
      </c>
      <c r="G107" s="503">
        <f>'Table X12 Indices 2012=100'!G107*$G$11</f>
        <v>92.589641433799997</v>
      </c>
      <c r="H107" s="503">
        <f>'Table X12 Indices 2012=100'!H107*$H$11</f>
        <v>92.4</v>
      </c>
      <c r="I107" s="503">
        <f>'Table X12 Indices 2012=100'!I107*$I$11</f>
        <v>93.203883498240003</v>
      </c>
      <c r="J107" s="503">
        <f>'Table X12 Indices 2012=100'!J107*$J$11</f>
        <v>93.344025663240004</v>
      </c>
      <c r="K107" s="503">
        <f>'Table X12 Indices 2012=100'!K107*$K$11</f>
        <v>93.268450931499999</v>
      </c>
      <c r="L107" s="504">
        <f>'Table X12 Indices 2012=100'!L107*$L$11</f>
        <v>91.383399210399986</v>
      </c>
      <c r="M107" s="490"/>
      <c r="N107" s="631"/>
      <c r="O107" s="631"/>
      <c r="P107" s="631"/>
      <c r="Q107" s="629"/>
      <c r="R107" s="631"/>
      <c r="S107" s="631"/>
      <c r="T107" s="631"/>
      <c r="U107" s="631"/>
      <c r="V107" s="629"/>
      <c r="W107" s="629"/>
    </row>
    <row r="108" spans="1:23" ht="18" customHeight="1" x14ac:dyDescent="0.25">
      <c r="A108" s="431"/>
      <c r="B108" s="555">
        <v>9</v>
      </c>
      <c r="C108" s="501">
        <v>2015</v>
      </c>
      <c r="D108" s="502">
        <f>'Table X12 Indices 2012=100'!D108*$D$11</f>
        <v>92.595541395569995</v>
      </c>
      <c r="E108" s="503">
        <f>'Table X12 Indices 2012=100'!E108*$E$11</f>
        <v>91.885441528650006</v>
      </c>
      <c r="F108" s="503">
        <f>'Table X12 Indices 2012=100'!F108*$F$11</f>
        <v>94.26229507650001</v>
      </c>
      <c r="G108" s="503">
        <f>'Table X12 Indices 2012=100'!G108*$G$11</f>
        <v>92.430278884000003</v>
      </c>
      <c r="H108" s="503">
        <f>'Table X12 Indices 2012=100'!H108*$H$11</f>
        <v>92.64</v>
      </c>
      <c r="I108" s="503">
        <f>'Table X12 Indices 2012=100'!I108*$I$11</f>
        <v>93.042071200500004</v>
      </c>
      <c r="J108" s="503">
        <f>'Table X12 Indices 2012=100'!J108*$J$11</f>
        <v>93.263833201330002</v>
      </c>
      <c r="K108" s="503">
        <f>'Table X12 Indices 2012=100'!K108*$K$11</f>
        <v>93.025141929070003</v>
      </c>
      <c r="L108" s="504">
        <f>'Table X12 Indices 2012=100'!L108*$L$11</f>
        <v>91.304347827000001</v>
      </c>
      <c r="M108" s="490"/>
      <c r="N108" s="631"/>
      <c r="O108" s="631"/>
      <c r="P108" s="631"/>
      <c r="Q108" s="629"/>
      <c r="R108" s="631"/>
      <c r="S108" s="631"/>
      <c r="T108" s="631"/>
      <c r="U108" s="631"/>
      <c r="V108" s="629"/>
      <c r="W108" s="629"/>
    </row>
    <row r="109" spans="1:23" ht="18" customHeight="1" x14ac:dyDescent="0.25">
      <c r="A109" s="431"/>
      <c r="B109" s="555">
        <v>10</v>
      </c>
      <c r="C109" s="501">
        <v>2015</v>
      </c>
      <c r="D109" s="502">
        <f>'Table X12 Indices 2012=100'!D109*$D$11</f>
        <v>92.914012733129994</v>
      </c>
      <c r="E109" s="503">
        <f>'Table X12 Indices 2012=100'!E109*$E$11</f>
        <v>92.203659507970002</v>
      </c>
      <c r="F109" s="503">
        <f>'Table X12 Indices 2012=100'!F109*$F$11</f>
        <v>94.26229507650001</v>
      </c>
      <c r="G109" s="503">
        <f>'Table X12 Indices 2012=100'!G109*$G$11</f>
        <v>92.5099601589</v>
      </c>
      <c r="H109" s="503">
        <f>'Table X12 Indices 2012=100'!H109*$H$11</f>
        <v>92.800000000000011</v>
      </c>
      <c r="I109" s="503">
        <f>'Table X12 Indices 2012=100'!I109*$I$11</f>
        <v>93.203883498240003</v>
      </c>
      <c r="J109" s="503">
        <f>'Table X12 Indices 2012=100'!J109*$J$11</f>
        <v>93.504410587059994</v>
      </c>
      <c r="K109" s="503">
        <f>'Table X12 Indices 2012=100'!K109*$K$11</f>
        <v>93.106244929880006</v>
      </c>
      <c r="L109" s="504">
        <f>'Table X12 Indices 2012=100'!L109*$L$11</f>
        <v>91.778656127399998</v>
      </c>
      <c r="M109" s="490"/>
      <c r="N109" s="631"/>
      <c r="O109" s="631"/>
      <c r="P109" s="631"/>
      <c r="Q109" s="629"/>
      <c r="R109" s="631"/>
      <c r="S109" s="631"/>
      <c r="T109" s="631"/>
      <c r="U109" s="631"/>
      <c r="V109" s="629"/>
      <c r="W109" s="629"/>
    </row>
    <row r="110" spans="1:23" ht="18" customHeight="1" x14ac:dyDescent="0.25">
      <c r="A110" s="431"/>
      <c r="B110" s="555">
        <v>11</v>
      </c>
      <c r="C110" s="501">
        <v>2015</v>
      </c>
      <c r="D110" s="502">
        <f>'Table X12 Indices 2012=100'!D110*$D$11</f>
        <v>93.073248401910007</v>
      </c>
      <c r="E110" s="503">
        <f>'Table X12 Indices 2012=100'!E110*$E$11</f>
        <v>92.521877487289998</v>
      </c>
      <c r="F110" s="503">
        <f>'Table X12 Indices 2012=100'!F110*$F$11</f>
        <v>94.590163928940015</v>
      </c>
      <c r="G110" s="503">
        <f>'Table X12 Indices 2012=100'!G110*$G$11</f>
        <v>92.669322708699994</v>
      </c>
      <c r="H110" s="503">
        <f>'Table X12 Indices 2012=100'!H110*$H$11</f>
        <v>92.800000000000011</v>
      </c>
      <c r="I110" s="503">
        <f>'Table X12 Indices 2012=100'!I110*$I$11</f>
        <v>93.284789647110003</v>
      </c>
      <c r="J110" s="503">
        <f>'Table X12 Indices 2012=100'!J110*$J$11</f>
        <v>93.58460304897001</v>
      </c>
      <c r="K110" s="503">
        <f>'Table X12 Indices 2012=100'!K110*$K$11</f>
        <v>93.268450931499999</v>
      </c>
      <c r="L110" s="504">
        <f>'Table X12 Indices 2012=100'!L110*$L$11</f>
        <v>92.411067194600008</v>
      </c>
      <c r="M110" s="490"/>
      <c r="N110" s="631"/>
      <c r="O110" s="631"/>
      <c r="P110" s="631"/>
      <c r="Q110" s="629"/>
      <c r="R110" s="631"/>
      <c r="S110" s="631"/>
      <c r="T110" s="631"/>
      <c r="U110" s="631"/>
      <c r="V110" s="629"/>
      <c r="W110" s="629"/>
    </row>
    <row r="111" spans="1:23" ht="18" customHeight="1" x14ac:dyDescent="0.25">
      <c r="A111" s="431"/>
      <c r="B111" s="556">
        <v>12</v>
      </c>
      <c r="C111" s="516">
        <v>2015</v>
      </c>
      <c r="D111" s="517">
        <f>'Table X12 Indices 2012=100'!D111*$D$11</f>
        <v>93.312101905079999</v>
      </c>
      <c r="E111" s="518">
        <f>'Table X12 Indices 2012=100'!E111*$E$11</f>
        <v>92.760540971779989</v>
      </c>
      <c r="F111" s="518">
        <f>'Table X12 Indices 2012=100'!F111*$F$11</f>
        <v>94.672131142050006</v>
      </c>
      <c r="G111" s="518">
        <f>'Table X12 Indices 2012=100'!G111*$G$11</f>
        <v>93.227091633000001</v>
      </c>
      <c r="H111" s="518">
        <f>'Table X12 Indices 2012=100'!H111*$H$11</f>
        <v>92.960000000000008</v>
      </c>
      <c r="I111" s="518">
        <f>'Table X12 Indices 2012=100'!I111*$I$11</f>
        <v>93.608414242590015</v>
      </c>
      <c r="J111" s="518">
        <f>'Table X12 Indices 2012=100'!J111*$J$11</f>
        <v>93.905372896610004</v>
      </c>
      <c r="K111" s="518">
        <f>'Table X12 Indices 2012=100'!K111*$K$11</f>
        <v>93.511759933930009</v>
      </c>
      <c r="L111" s="519">
        <f>'Table X12 Indices 2012=100'!L111*$L$11</f>
        <v>92.252964427799995</v>
      </c>
      <c r="M111" s="490"/>
      <c r="N111" s="631"/>
      <c r="O111" s="631"/>
      <c r="P111" s="631"/>
      <c r="Q111" s="629"/>
      <c r="R111" s="631"/>
      <c r="S111" s="631"/>
      <c r="T111" s="631"/>
      <c r="U111" s="631"/>
      <c r="V111" s="629"/>
      <c r="W111" s="629"/>
    </row>
    <row r="112" spans="1:23" ht="18" customHeight="1" x14ac:dyDescent="0.25">
      <c r="A112" s="431"/>
      <c r="B112" s="566">
        <v>1</v>
      </c>
      <c r="C112" s="529">
        <v>2016</v>
      </c>
      <c r="D112" s="530">
        <f>'Table X12 Indices 2012=100'!D112*$D$11</f>
        <v>93.949044580199995</v>
      </c>
      <c r="E112" s="531">
        <f>'Table X12 Indices 2012=100'!E112*$E$11</f>
        <v>93.63564041491</v>
      </c>
      <c r="F112" s="531">
        <f>'Table X12 Indices 2012=100'!F112*$F$11</f>
        <v>95.245901633820012</v>
      </c>
      <c r="G112" s="531">
        <f>'Table X12 Indices 2012=100'!G112*$G$11</f>
        <v>94.262948206700003</v>
      </c>
      <c r="H112" s="531">
        <f>'Table X12 Indices 2012=100'!H112*$H$11</f>
        <v>93.84</v>
      </c>
      <c r="I112" s="531">
        <f>'Table X12 Indices 2012=100'!I112*$I$11</f>
        <v>94.498381880160011</v>
      </c>
      <c r="J112" s="531">
        <f>'Table X12 Indices 2012=100'!J112*$J$11</f>
        <v>94.627105053800008</v>
      </c>
      <c r="K112" s="531">
        <f>'Table X12 Indices 2012=100'!K112*$K$11</f>
        <v>94.484995943650006</v>
      </c>
      <c r="L112" s="532">
        <f>'Table X12 Indices 2012=100'!L112*$L$11</f>
        <v>93.12252964519999</v>
      </c>
      <c r="M112" s="490"/>
      <c r="N112" s="631"/>
      <c r="O112" s="631"/>
      <c r="P112" s="631"/>
      <c r="Q112" s="629"/>
      <c r="R112" s="631"/>
      <c r="S112" s="631"/>
      <c r="T112" s="631"/>
      <c r="U112" s="631"/>
      <c r="V112" s="629"/>
      <c r="W112" s="629"/>
    </row>
    <row r="113" spans="1:27" ht="18" customHeight="1" x14ac:dyDescent="0.25">
      <c r="A113" s="431"/>
      <c r="B113" s="555">
        <v>2</v>
      </c>
      <c r="C113" s="501">
        <v>2016</v>
      </c>
      <c r="D113" s="502">
        <f>'Table X12 Indices 2012=100'!D113*$D$11</f>
        <v>94.984076427269997</v>
      </c>
      <c r="E113" s="503">
        <f>'Table X12 Indices 2012=100'!E113*$E$11</f>
        <v>95.226730311509996</v>
      </c>
      <c r="F113" s="503">
        <f>'Table X12 Indices 2012=100'!F113*$F$11</f>
        <v>96.475409830469999</v>
      </c>
      <c r="G113" s="503">
        <f>'Table X12 Indices 2012=100'!G113*$G$11</f>
        <v>95.378486055300002</v>
      </c>
      <c r="H113" s="503">
        <f>'Table X12 Indices 2012=100'!H113*$H$11</f>
        <v>95.04</v>
      </c>
      <c r="I113" s="503">
        <f>'Table X12 Indices 2012=100'!I113*$I$11</f>
        <v>95.631067964340005</v>
      </c>
      <c r="J113" s="503">
        <f>'Table X12 Indices 2012=100'!J113*$J$11</f>
        <v>95.990376906270001</v>
      </c>
      <c r="K113" s="503">
        <f>'Table X12 Indices 2012=100'!K113*$K$11</f>
        <v>96.188158960660004</v>
      </c>
      <c r="L113" s="504">
        <f>'Table X12 Indices 2012=100'!L113*$L$11</f>
        <v>95.019762846799992</v>
      </c>
      <c r="M113" s="490"/>
      <c r="N113" s="631"/>
      <c r="O113" s="631"/>
      <c r="P113" s="631"/>
      <c r="Q113" s="629"/>
      <c r="R113" s="631"/>
      <c r="S113" s="631"/>
      <c r="T113" s="631"/>
      <c r="U113" s="631"/>
      <c r="V113" s="629"/>
      <c r="W113" s="629"/>
    </row>
    <row r="114" spans="1:27" ht="18" customHeight="1" x14ac:dyDescent="0.25">
      <c r="A114" s="431"/>
      <c r="B114" s="555">
        <v>3</v>
      </c>
      <c r="C114" s="501">
        <v>2016</v>
      </c>
      <c r="D114" s="502">
        <f>'Table X12 Indices 2012=100'!D114*$D$11</f>
        <v>95.780254771169993</v>
      </c>
      <c r="E114" s="503">
        <f>'Table X12 Indices 2012=100'!E114*$E$11</f>
        <v>95.783611775320011</v>
      </c>
      <c r="F114" s="503">
        <f>'Table X12 Indices 2012=100'!F114*$F$11</f>
        <v>96.88524589602001</v>
      </c>
      <c r="G114" s="503">
        <f>'Table X12 Indices 2012=100'!G114*$G$11</f>
        <v>96.254980079199996</v>
      </c>
      <c r="H114" s="503">
        <f>'Table X12 Indices 2012=100'!H114*$H$11</f>
        <v>96</v>
      </c>
      <c r="I114" s="503">
        <f>'Table X12 Indices 2012=100'!I114*$I$11</f>
        <v>96.278317155300002</v>
      </c>
      <c r="J114" s="503">
        <f>'Table X12 Indices 2012=100'!J114*$J$11</f>
        <v>96.631916601550003</v>
      </c>
      <c r="K114" s="503">
        <f>'Table X12 Indices 2012=100'!K114*$K$11</f>
        <v>96.755879966329999</v>
      </c>
      <c r="L114" s="504">
        <f>'Table X12 Indices 2012=100'!L114*$L$11</f>
        <v>96.126482214399985</v>
      </c>
      <c r="M114" s="490"/>
      <c r="N114" s="631"/>
      <c r="O114" s="631"/>
      <c r="P114" s="631"/>
      <c r="Q114" s="629"/>
      <c r="R114" s="631"/>
      <c r="S114" s="631"/>
      <c r="T114" s="631"/>
      <c r="U114" s="631"/>
      <c r="V114" s="629"/>
      <c r="W114" s="629"/>
    </row>
    <row r="115" spans="1:27" ht="18" customHeight="1" x14ac:dyDescent="0.25">
      <c r="A115" s="431"/>
      <c r="B115" s="555">
        <v>4</v>
      </c>
      <c r="C115" s="501">
        <v>2016</v>
      </c>
      <c r="D115" s="502">
        <f>'Table X12 Indices 2012=100'!D115*$D$11</f>
        <v>96.41719744628999</v>
      </c>
      <c r="E115" s="503">
        <f>'Table X12 Indices 2012=100'!E115*$E$11</f>
        <v>96.817820208110007</v>
      </c>
      <c r="F115" s="503">
        <f>'Table X12 Indices 2012=100'!F115*$F$11</f>
        <v>97.622950814009997</v>
      </c>
      <c r="G115" s="503">
        <f>'Table X12 Indices 2012=100'!G115*$G$11</f>
        <v>96.972111553299996</v>
      </c>
      <c r="H115" s="503">
        <f>'Table X12 Indices 2012=100'!H115*$H$11</f>
        <v>96.960000000000008</v>
      </c>
      <c r="I115" s="503">
        <f>'Table X12 Indices 2012=100'!I115*$I$11</f>
        <v>97.33009709061001</v>
      </c>
      <c r="J115" s="503">
        <f>'Table X12 Indices 2012=100'!J115*$J$11</f>
        <v>97.433841220649995</v>
      </c>
      <c r="K115" s="503">
        <f>'Table X12 Indices 2012=100'!K115*$K$11</f>
        <v>97.648012975240007</v>
      </c>
      <c r="L115" s="504">
        <f>'Table X12 Indices 2012=100'!L115*$L$11</f>
        <v>97.62845849899999</v>
      </c>
      <c r="M115" s="490"/>
      <c r="N115" s="631"/>
      <c r="O115" s="631"/>
      <c r="P115" s="631"/>
      <c r="Q115" s="629"/>
      <c r="R115" s="631"/>
      <c r="S115" s="631"/>
      <c r="T115" s="631"/>
      <c r="U115" s="631"/>
      <c r="V115" s="629"/>
      <c r="W115" s="629"/>
    </row>
    <row r="116" spans="1:27" ht="18" customHeight="1" x14ac:dyDescent="0.25">
      <c r="A116" s="431"/>
      <c r="B116" s="555">
        <v>5</v>
      </c>
      <c r="C116" s="501">
        <v>2016</v>
      </c>
      <c r="D116" s="502">
        <f>'Table X12 Indices 2012=100'!D116*$D$11</f>
        <v>96.41719744628999</v>
      </c>
      <c r="E116" s="503">
        <f>'Table X12 Indices 2012=100'!E116*$E$11</f>
        <v>97.136038187429989</v>
      </c>
      <c r="F116" s="503">
        <f>'Table X12 Indices 2012=100'!F116*$F$11</f>
        <v>97.786885240230006</v>
      </c>
      <c r="G116" s="503">
        <f>'Table X12 Indices 2012=100'!G116*$G$11</f>
        <v>97.290836652899998</v>
      </c>
      <c r="H116" s="503">
        <f>'Table X12 Indices 2012=100'!H116*$H$11</f>
        <v>97.12</v>
      </c>
      <c r="I116" s="503">
        <f>'Table X12 Indices 2012=100'!I116*$I$11</f>
        <v>97.41100323948001</v>
      </c>
      <c r="J116" s="503">
        <f>'Table X12 Indices 2012=100'!J116*$J$11</f>
        <v>97.674418606380002</v>
      </c>
      <c r="K116" s="503">
        <f>'Table X12 Indices 2012=100'!K116*$K$11</f>
        <v>97.891321977670003</v>
      </c>
      <c r="L116" s="504">
        <f>'Table X12 Indices 2012=100'!L116*$L$11</f>
        <v>97.549407115600005</v>
      </c>
      <c r="M116" s="490"/>
      <c r="N116" s="631"/>
      <c r="O116" s="631"/>
      <c r="P116" s="631"/>
      <c r="Q116" s="629"/>
      <c r="R116" s="631"/>
      <c r="S116" s="631"/>
      <c r="T116" s="631"/>
      <c r="U116" s="631"/>
      <c r="V116" s="629"/>
      <c r="W116" s="629"/>
    </row>
    <row r="117" spans="1:27" ht="18" customHeight="1" x14ac:dyDescent="0.25">
      <c r="A117" s="431"/>
      <c r="B117" s="555">
        <v>6</v>
      </c>
      <c r="C117" s="501">
        <v>2016</v>
      </c>
      <c r="D117" s="502">
        <f>'Table X12 Indices 2012=100'!D117*$D$11</f>
        <v>97.133757955799993</v>
      </c>
      <c r="E117" s="503">
        <f>'Table X12 Indices 2012=100'!E117*$E$11</f>
        <v>97.852028640900002</v>
      </c>
      <c r="F117" s="503">
        <f>'Table X12 Indices 2012=100'!F117*$F$11</f>
        <v>98.524590158220008</v>
      </c>
      <c r="G117" s="503">
        <f>'Table X12 Indices 2012=100'!G117*$G$11</f>
        <v>97.768924302300007</v>
      </c>
      <c r="H117" s="503">
        <f>'Table X12 Indices 2012=100'!H117*$H$11</f>
        <v>97.84</v>
      </c>
      <c r="I117" s="503">
        <f>'Table X12 Indices 2012=100'!I117*$I$11</f>
        <v>97.815533983830008</v>
      </c>
      <c r="J117" s="503">
        <f>'Table X12 Indices 2012=100'!J117*$J$11</f>
        <v>98.15557337784</v>
      </c>
      <c r="K117" s="503">
        <f>'Table X12 Indices 2012=100'!K117*$K$11</f>
        <v>98.134630980099999</v>
      </c>
      <c r="L117" s="504">
        <f>'Table X12 Indices 2012=100'!L117*$L$11</f>
        <v>97.707509882399989</v>
      </c>
      <c r="M117" s="490"/>
      <c r="N117" s="631"/>
      <c r="O117" s="631"/>
      <c r="P117" s="631"/>
      <c r="Q117" s="629"/>
      <c r="R117" s="631"/>
      <c r="S117" s="631"/>
      <c r="T117" s="631"/>
      <c r="U117" s="631"/>
      <c r="V117" s="629"/>
      <c r="W117" s="629"/>
    </row>
    <row r="118" spans="1:27" ht="18" customHeight="1" x14ac:dyDescent="0.25">
      <c r="A118" s="431"/>
      <c r="B118" s="555">
        <v>7</v>
      </c>
      <c r="C118" s="501">
        <v>2016</v>
      </c>
      <c r="D118" s="502">
        <f>'Table X12 Indices 2012=100'!D118*$D$11</f>
        <v>97.850318465309996</v>
      </c>
      <c r="E118" s="503">
        <f>'Table X12 Indices 2012=100'!E118*$E$11</f>
        <v>98.408910104710003</v>
      </c>
      <c r="F118" s="503">
        <f>'Table X12 Indices 2012=100'!F118*$F$11</f>
        <v>99.262295076209995</v>
      </c>
      <c r="G118" s="503">
        <f>'Table X12 Indices 2012=100'!G118*$G$11</f>
        <v>98.486055776399994</v>
      </c>
      <c r="H118" s="503">
        <f>'Table X12 Indices 2012=100'!H118*$H$11</f>
        <v>98.88</v>
      </c>
      <c r="I118" s="503">
        <f>'Table X12 Indices 2012=100'!I118*$I$11</f>
        <v>98.786407770270003</v>
      </c>
      <c r="J118" s="503">
        <f>'Table X12 Indices 2012=100'!J118*$J$11</f>
        <v>98.957497996940006</v>
      </c>
      <c r="K118" s="503">
        <f>'Table X12 Indices 2012=100'!K118*$K$11</f>
        <v>98.783454986579997</v>
      </c>
      <c r="L118" s="504">
        <f>'Table X12 Indices 2012=100'!L118*$L$11</f>
        <v>98.498023716399999</v>
      </c>
      <c r="M118" s="490"/>
      <c r="N118" s="631"/>
      <c r="O118" s="631"/>
      <c r="P118" s="631"/>
      <c r="Q118" s="629"/>
      <c r="R118" s="631"/>
      <c r="S118" s="631"/>
      <c r="T118" s="631"/>
      <c r="U118" s="631"/>
      <c r="V118" s="629"/>
      <c r="W118" s="629"/>
    </row>
    <row r="119" spans="1:27" ht="18" customHeight="1" x14ac:dyDescent="0.25">
      <c r="A119" s="431"/>
      <c r="B119" s="555">
        <v>8</v>
      </c>
      <c r="C119" s="501">
        <v>2016</v>
      </c>
      <c r="D119" s="502">
        <f>'Table X12 Indices 2012=100'!D119*$D$11</f>
        <v>97.691082796529997</v>
      </c>
      <c r="E119" s="503">
        <f>'Table X12 Indices 2012=100'!E119*$E$11</f>
        <v>98.727128084029999</v>
      </c>
      <c r="F119" s="503">
        <f>'Table X12 Indices 2012=100'!F119*$F$11</f>
        <v>99.180327863100004</v>
      </c>
      <c r="G119" s="503">
        <f>'Table X12 Indices 2012=100'!G119*$G$11</f>
        <v>98.645418326200002</v>
      </c>
      <c r="H119" s="503">
        <f>'Table X12 Indices 2012=100'!H119*$H$11</f>
        <v>98.720000000000013</v>
      </c>
      <c r="I119" s="503">
        <f>'Table X12 Indices 2012=100'!I119*$I$11</f>
        <v>98.867313919140003</v>
      </c>
      <c r="J119" s="503">
        <f>'Table X12 Indices 2012=100'!J119*$J$11</f>
        <v>98.797113073120002</v>
      </c>
      <c r="K119" s="503">
        <f>'Table X12 Indices 2012=100'!K119*$K$11</f>
        <v>98.864557987390015</v>
      </c>
      <c r="L119" s="504">
        <f>'Table X12 Indices 2012=100'!L119*$L$11</f>
        <v>98.498023716399999</v>
      </c>
      <c r="M119" s="490"/>
      <c r="N119" s="631"/>
      <c r="O119" s="631"/>
      <c r="P119" s="631"/>
      <c r="Q119" s="629"/>
      <c r="R119" s="631"/>
      <c r="S119" s="631"/>
      <c r="T119" s="631"/>
      <c r="U119" s="631"/>
      <c r="V119" s="629"/>
      <c r="W119" s="629"/>
    </row>
    <row r="120" spans="1:27" ht="18" customHeight="1" x14ac:dyDescent="0.25">
      <c r="A120" s="431"/>
      <c r="B120" s="555">
        <v>9</v>
      </c>
      <c r="C120" s="501">
        <v>2016</v>
      </c>
      <c r="D120" s="502">
        <f>'Table X12 Indices 2012=100'!D120*$D$11</f>
        <v>98.089171968480002</v>
      </c>
      <c r="E120" s="503">
        <f>'Table X12 Indices 2012=100'!E120*$E$11</f>
        <v>98.806682578860006</v>
      </c>
      <c r="F120" s="503">
        <f>'Table X12 Indices 2012=100'!F120*$F$11</f>
        <v>99.098360649990013</v>
      </c>
      <c r="G120" s="503">
        <f>'Table X12 Indices 2012=100'!G120*$G$11</f>
        <v>99.0438247007</v>
      </c>
      <c r="H120" s="503">
        <f>'Table X12 Indices 2012=100'!H120*$H$11</f>
        <v>98.960000000000008</v>
      </c>
      <c r="I120" s="503">
        <f>'Table X12 Indices 2012=100'!I120*$I$11</f>
        <v>98.786407770270003</v>
      </c>
      <c r="J120" s="503">
        <f>'Table X12 Indices 2012=100'!J120*$J$11</f>
        <v>98.957497996940006</v>
      </c>
      <c r="K120" s="503">
        <f>'Table X12 Indices 2012=100'!K120*$K$11</f>
        <v>99.026763989009993</v>
      </c>
      <c r="L120" s="504">
        <f>'Table X12 Indices 2012=100'!L120*$L$11</f>
        <v>98.893280633399996</v>
      </c>
      <c r="M120" s="490"/>
      <c r="N120" s="631"/>
      <c r="O120" s="631"/>
      <c r="P120" s="631"/>
      <c r="Q120" s="629"/>
      <c r="R120" s="631"/>
      <c r="S120" s="631"/>
      <c r="T120" s="631"/>
      <c r="U120" s="631"/>
      <c r="V120" s="629"/>
      <c r="W120" s="629"/>
    </row>
    <row r="121" spans="1:27" ht="18" customHeight="1" x14ac:dyDescent="0.25">
      <c r="A121" s="431"/>
      <c r="B121" s="555">
        <v>10</v>
      </c>
      <c r="C121" s="501">
        <v>2016</v>
      </c>
      <c r="D121" s="502">
        <f>'Table X12 Indices 2012=100'!D121*$D$11</f>
        <v>98.646496809210007</v>
      </c>
      <c r="E121" s="503">
        <f>'Table X12 Indices 2012=100'!E121*$E$11</f>
        <v>99.124900558180002</v>
      </c>
      <c r="F121" s="503">
        <f>'Table X12 Indices 2012=100'!F121*$F$11</f>
        <v>99.672131141760005</v>
      </c>
      <c r="G121" s="503">
        <f>'Table X12 Indices 2012=100'!G121*$G$11</f>
        <v>99.442231075199999</v>
      </c>
      <c r="H121" s="503">
        <f>'Table X12 Indices 2012=100'!H121*$H$11</f>
        <v>99.44</v>
      </c>
      <c r="I121" s="503">
        <f>'Table X12 Indices 2012=100'!I121*$I$11</f>
        <v>99.433656961230014</v>
      </c>
      <c r="J121" s="503">
        <f>'Table X12 Indices 2012=100'!J121*$J$11</f>
        <v>99.438652768400004</v>
      </c>
      <c r="K121" s="503">
        <f>'Table X12 Indices 2012=100'!K121*$K$11</f>
        <v>99.513381993870013</v>
      </c>
      <c r="L121" s="504">
        <f>'Table X12 Indices 2012=100'!L121*$L$11</f>
        <v>99.288537550399994</v>
      </c>
      <c r="M121" s="490"/>
      <c r="N121" s="631"/>
      <c r="O121" s="631"/>
      <c r="P121" s="631"/>
      <c r="Q121" s="629"/>
      <c r="R121" s="631"/>
      <c r="S121" s="631"/>
      <c r="T121" s="631"/>
      <c r="U121" s="631"/>
      <c r="V121" s="629"/>
      <c r="W121" s="629"/>
    </row>
    <row r="122" spans="1:27" ht="18" customHeight="1" x14ac:dyDescent="0.25">
      <c r="A122" s="431"/>
      <c r="B122" s="555">
        <v>11</v>
      </c>
      <c r="C122" s="501">
        <v>2016</v>
      </c>
      <c r="D122" s="502">
        <f>'Table X12 Indices 2012=100'!D122*$D$11</f>
        <v>99.044585981159997</v>
      </c>
      <c r="E122" s="503">
        <f>'Table X12 Indices 2012=100'!E122*$E$11</f>
        <v>99.52267303232999</v>
      </c>
      <c r="F122" s="503">
        <f>'Table X12 Indices 2012=100'!F122*$F$11</f>
        <v>99.99999999420001</v>
      </c>
      <c r="G122" s="503">
        <f>'Table X12 Indices 2012=100'!G122*$G$11</f>
        <v>99.601593624999992</v>
      </c>
      <c r="H122" s="503">
        <f>'Table X12 Indices 2012=100'!H122*$H$11</f>
        <v>99.76</v>
      </c>
      <c r="I122" s="503">
        <f>'Table X12 Indices 2012=100'!I122*$I$11</f>
        <v>99.676375407840013</v>
      </c>
      <c r="J122" s="503">
        <f>'Table X12 Indices 2012=100'!J122*$J$11</f>
        <v>99.759422616040013</v>
      </c>
      <c r="K122" s="503">
        <f>'Table X12 Indices 2012=100'!K122*$K$11</f>
        <v>99.756690996300009</v>
      </c>
      <c r="L122" s="504">
        <f>'Table X12 Indices 2012=100'!L122*$L$11</f>
        <v>99.84189723419999</v>
      </c>
      <c r="M122" s="490"/>
      <c r="N122" s="631"/>
      <c r="O122" s="631"/>
      <c r="P122" s="631"/>
      <c r="Q122" s="629"/>
      <c r="R122" s="631"/>
      <c r="S122" s="631"/>
      <c r="T122" s="631"/>
      <c r="U122" s="631"/>
      <c r="V122" s="629"/>
      <c r="W122" s="629"/>
    </row>
    <row r="123" spans="1:27" ht="18" customHeight="1" thickBot="1" x14ac:dyDescent="0.3">
      <c r="A123" s="431"/>
      <c r="B123" s="574">
        <v>12</v>
      </c>
      <c r="C123" s="575">
        <v>2016</v>
      </c>
      <c r="D123" s="576">
        <f>'Table X12 Indices 2012=100'!D123*$D$11</f>
        <v>99.999999993839992</v>
      </c>
      <c r="E123" s="577">
        <f>'Table X12 Indices 2012=100'!E123*$E$11</f>
        <v>100.00000000131</v>
      </c>
      <c r="F123" s="577">
        <f>'Table X12 Indices 2012=100'!F123*$F$11</f>
        <v>99.99999999420001</v>
      </c>
      <c r="G123" s="577">
        <f>'Table X12 Indices 2012=100'!G123*$G$11</f>
        <v>99.999999999500005</v>
      </c>
      <c r="H123" s="577">
        <f>'Table X12 Indices 2012=100'!H123*$H$11</f>
        <v>100</v>
      </c>
      <c r="I123" s="577">
        <f>'Table X12 Indices 2012=100'!I123*$I$11</f>
        <v>100.00000000332</v>
      </c>
      <c r="J123" s="577">
        <f>'Table X12 Indices 2012=100'!J123*$J$11</f>
        <v>100.00000000177</v>
      </c>
      <c r="K123" s="577">
        <f>'Table X12 Indices 2012=100'!K123*$K$11</f>
        <v>99.999999998730004</v>
      </c>
      <c r="L123" s="578">
        <f>'Table X12 Indices 2012=100'!L123*$L$11</f>
        <v>100.00000000099999</v>
      </c>
      <c r="M123" s="490"/>
      <c r="N123" s="631"/>
      <c r="O123" s="631"/>
      <c r="P123" s="631"/>
      <c r="Q123" s="629"/>
      <c r="R123" s="631"/>
      <c r="S123" s="631"/>
      <c r="T123" s="631"/>
      <c r="U123" s="631"/>
      <c r="V123" s="629"/>
      <c r="W123" s="629"/>
    </row>
    <row r="124" spans="1:27" ht="44.25" customHeight="1" x14ac:dyDescent="0.25">
      <c r="A124" s="431"/>
      <c r="B124" s="767" t="s">
        <v>126</v>
      </c>
      <c r="C124" s="768"/>
      <c r="D124" s="771" t="s">
        <v>138</v>
      </c>
      <c r="E124" s="772"/>
      <c r="F124" s="772"/>
      <c r="G124" s="772"/>
      <c r="H124" s="772"/>
      <c r="I124" s="772"/>
      <c r="J124" s="772"/>
      <c r="K124" s="772"/>
      <c r="L124" s="773"/>
      <c r="M124" s="490"/>
      <c r="N124" s="774"/>
      <c r="O124" s="774"/>
      <c r="P124" s="774"/>
      <c r="Q124" s="774"/>
      <c r="R124" s="774"/>
      <c r="S124" s="774"/>
      <c r="T124" s="774"/>
      <c r="U124" s="774"/>
      <c r="V124" s="774"/>
      <c r="W124" s="774"/>
    </row>
    <row r="125" spans="1:27" ht="52.5" customHeight="1" thickBot="1" x14ac:dyDescent="0.3">
      <c r="A125" s="431"/>
      <c r="B125" s="769"/>
      <c r="C125" s="770"/>
      <c r="D125" s="775" t="s">
        <v>124</v>
      </c>
      <c r="E125" s="776"/>
      <c r="F125" s="776"/>
      <c r="G125" s="776"/>
      <c r="H125" s="776"/>
      <c r="I125" s="776"/>
      <c r="J125" s="776"/>
      <c r="K125" s="776"/>
      <c r="L125" s="777"/>
      <c r="M125" s="490"/>
      <c r="N125" s="778"/>
      <c r="O125" s="778"/>
      <c r="P125" s="778"/>
      <c r="Q125" s="778"/>
      <c r="R125" s="778"/>
      <c r="S125" s="778"/>
      <c r="T125" s="778"/>
      <c r="U125" s="778"/>
      <c r="V125" s="778"/>
      <c r="W125" s="778"/>
      <c r="Z125" s="756"/>
      <c r="AA125" s="756"/>
    </row>
    <row r="126" spans="1:27" ht="18" customHeight="1" x14ac:dyDescent="0.25">
      <c r="A126" s="431"/>
      <c r="B126" s="566">
        <v>1</v>
      </c>
      <c r="C126" s="529">
        <v>2017</v>
      </c>
      <c r="D126" s="530">
        <v>100.5</v>
      </c>
      <c r="E126" s="531">
        <v>100.7</v>
      </c>
      <c r="F126" s="531">
        <v>100.6</v>
      </c>
      <c r="G126" s="531">
        <v>100.7</v>
      </c>
      <c r="H126" s="531">
        <v>100.6</v>
      </c>
      <c r="I126" s="531">
        <v>100.8</v>
      </c>
      <c r="J126" s="531">
        <v>100.7</v>
      </c>
      <c r="K126" s="531">
        <v>100.6</v>
      </c>
      <c r="L126" s="532">
        <v>100.6</v>
      </c>
      <c r="M126" s="490"/>
      <c r="N126" s="631"/>
      <c r="O126" s="631"/>
      <c r="P126" s="631"/>
      <c r="Q126" s="629"/>
      <c r="R126" s="631"/>
      <c r="S126" s="631"/>
      <c r="T126" s="631"/>
      <c r="U126" s="631"/>
      <c r="V126" s="629"/>
      <c r="W126" s="629"/>
      <c r="Z126" s="756"/>
      <c r="AA126" s="756"/>
    </row>
    <row r="127" spans="1:27" ht="18" customHeight="1" x14ac:dyDescent="0.25">
      <c r="A127" s="431"/>
      <c r="B127" s="555">
        <v>2</v>
      </c>
      <c r="C127" s="501">
        <v>2017</v>
      </c>
      <c r="D127" s="502">
        <v>101.9</v>
      </c>
      <c r="E127" s="503">
        <v>101.5</v>
      </c>
      <c r="F127" s="503">
        <v>101.4</v>
      </c>
      <c r="G127" s="503">
        <v>101.5</v>
      </c>
      <c r="H127" s="503">
        <v>101.6</v>
      </c>
      <c r="I127" s="503">
        <v>101.7</v>
      </c>
      <c r="J127" s="503">
        <v>101.8</v>
      </c>
      <c r="K127" s="503">
        <v>101.4</v>
      </c>
      <c r="L127" s="504">
        <v>101.3</v>
      </c>
      <c r="M127" s="490"/>
      <c r="N127" s="631"/>
      <c r="O127" s="631"/>
      <c r="P127" s="631"/>
      <c r="Q127" s="629"/>
      <c r="R127" s="631"/>
      <c r="S127" s="631"/>
      <c r="T127" s="631"/>
      <c r="U127" s="631"/>
      <c r="V127" s="629"/>
      <c r="W127" s="629"/>
    </row>
    <row r="128" spans="1:27" ht="18" customHeight="1" x14ac:dyDescent="0.25">
      <c r="A128" s="431"/>
      <c r="B128" s="555">
        <v>3</v>
      </c>
      <c r="C128" s="501">
        <v>2017</v>
      </c>
      <c r="D128" s="502">
        <v>102.5</v>
      </c>
      <c r="E128" s="503">
        <v>102.1</v>
      </c>
      <c r="F128" s="503">
        <v>101.6</v>
      </c>
      <c r="G128" s="503">
        <v>102</v>
      </c>
      <c r="H128" s="503">
        <v>102</v>
      </c>
      <c r="I128" s="503">
        <v>102</v>
      </c>
      <c r="J128" s="503">
        <v>102.4</v>
      </c>
      <c r="K128" s="503">
        <v>101.7</v>
      </c>
      <c r="L128" s="504">
        <v>102</v>
      </c>
      <c r="M128" s="490"/>
      <c r="N128" s="631"/>
      <c r="O128" s="631"/>
      <c r="P128" s="631"/>
      <c r="Q128" s="629"/>
      <c r="R128" s="631"/>
      <c r="S128" s="631"/>
      <c r="T128" s="631"/>
      <c r="U128" s="631"/>
      <c r="V128" s="629"/>
      <c r="W128" s="629"/>
    </row>
    <row r="129" spans="1:25" ht="18" customHeight="1" x14ac:dyDescent="0.25">
      <c r="A129" s="431"/>
      <c r="B129" s="555">
        <v>4</v>
      </c>
      <c r="C129" s="501">
        <v>2017</v>
      </c>
      <c r="D129" s="502">
        <v>102.5</v>
      </c>
      <c r="E129" s="503">
        <v>102.2</v>
      </c>
      <c r="F129" s="503">
        <v>101.8</v>
      </c>
      <c r="G129" s="503">
        <v>102.3</v>
      </c>
      <c r="H129" s="503">
        <v>102.1</v>
      </c>
      <c r="I129" s="503">
        <v>101.9</v>
      </c>
      <c r="J129" s="503">
        <v>102.5</v>
      </c>
      <c r="K129" s="503">
        <v>101.8</v>
      </c>
      <c r="L129" s="504">
        <v>102.1</v>
      </c>
      <c r="M129" s="490"/>
      <c r="N129" s="631"/>
      <c r="O129" s="631"/>
      <c r="P129" s="631"/>
      <c r="Q129" s="629"/>
      <c r="R129" s="631"/>
      <c r="S129" s="631"/>
      <c r="T129" s="631"/>
      <c r="U129" s="631"/>
      <c r="V129" s="629"/>
      <c r="W129" s="629"/>
    </row>
    <row r="130" spans="1:25" ht="18" customHeight="1" x14ac:dyDescent="0.25">
      <c r="A130" s="431"/>
      <c r="B130" s="555">
        <v>5</v>
      </c>
      <c r="C130" s="501">
        <v>2017</v>
      </c>
      <c r="D130" s="502">
        <v>102.7</v>
      </c>
      <c r="E130" s="503">
        <v>102.7</v>
      </c>
      <c r="F130" s="503">
        <v>102</v>
      </c>
      <c r="G130" s="503">
        <v>102.4</v>
      </c>
      <c r="H130" s="503">
        <v>102.3</v>
      </c>
      <c r="I130" s="503">
        <v>102.3</v>
      </c>
      <c r="J130" s="503">
        <v>102.8</v>
      </c>
      <c r="K130" s="503">
        <v>102.2</v>
      </c>
      <c r="L130" s="504">
        <v>102.1</v>
      </c>
      <c r="M130" s="490"/>
      <c r="N130" s="631"/>
      <c r="O130" s="631"/>
      <c r="P130" s="631"/>
      <c r="Q130" s="629"/>
      <c r="R130" s="631"/>
      <c r="S130" s="631"/>
      <c r="T130" s="631"/>
      <c r="U130" s="631"/>
      <c r="V130" s="629"/>
      <c r="W130" s="629"/>
    </row>
    <row r="131" spans="1:25" ht="18" customHeight="1" x14ac:dyDescent="0.25">
      <c r="A131" s="431"/>
      <c r="B131" s="555">
        <v>6</v>
      </c>
      <c r="C131" s="501">
        <v>2017</v>
      </c>
      <c r="D131" s="502">
        <v>102.9</v>
      </c>
      <c r="E131" s="503">
        <v>102.7</v>
      </c>
      <c r="F131" s="503">
        <v>102.1</v>
      </c>
      <c r="G131" s="503">
        <v>102.7</v>
      </c>
      <c r="H131" s="503">
        <v>102.6</v>
      </c>
      <c r="I131" s="503">
        <v>102.2</v>
      </c>
      <c r="J131" s="503">
        <v>103.2</v>
      </c>
      <c r="K131" s="503">
        <v>102.4</v>
      </c>
      <c r="L131" s="504">
        <v>102.4</v>
      </c>
      <c r="M131" s="490"/>
      <c r="N131" s="631"/>
      <c r="O131" s="631"/>
      <c r="P131" s="631"/>
      <c r="Q131" s="629"/>
      <c r="R131" s="631"/>
      <c r="S131" s="631"/>
      <c r="T131" s="631"/>
      <c r="U131" s="631"/>
      <c r="V131" s="629"/>
      <c r="W131" s="629"/>
    </row>
    <row r="132" spans="1:25" ht="18" customHeight="1" x14ac:dyDescent="0.2">
      <c r="A132" s="431"/>
      <c r="B132" s="555">
        <v>7</v>
      </c>
      <c r="C132" s="501">
        <v>2017</v>
      </c>
      <c r="D132" s="502">
        <v>103.2</v>
      </c>
      <c r="E132" s="503">
        <v>103</v>
      </c>
      <c r="F132" s="503">
        <v>102.5</v>
      </c>
      <c r="G132" s="503">
        <v>102.8</v>
      </c>
      <c r="H132" s="503">
        <v>102.7</v>
      </c>
      <c r="I132" s="503">
        <v>102.2</v>
      </c>
      <c r="J132" s="503">
        <v>103.5</v>
      </c>
      <c r="K132" s="503">
        <v>102.5</v>
      </c>
      <c r="L132" s="504">
        <v>102.6</v>
      </c>
      <c r="N132" s="642" t="s">
        <v>182</v>
      </c>
      <c r="O132" s="631"/>
      <c r="P132" s="631"/>
      <c r="Q132" s="629"/>
      <c r="R132" s="631"/>
      <c r="S132" s="631"/>
      <c r="T132" s="631"/>
      <c r="U132" s="631"/>
      <c r="V132" s="629"/>
      <c r="W132" s="629"/>
    </row>
    <row r="133" spans="1:25" ht="18" customHeight="1" x14ac:dyDescent="0.25">
      <c r="A133" s="431"/>
      <c r="B133" s="555">
        <v>8</v>
      </c>
      <c r="C133" s="501">
        <v>2017</v>
      </c>
      <c r="D133" s="502">
        <v>103.3</v>
      </c>
      <c r="E133" s="503">
        <v>102.8</v>
      </c>
      <c r="F133" s="503">
        <v>102.7</v>
      </c>
      <c r="G133" s="503">
        <v>103.1</v>
      </c>
      <c r="H133" s="503">
        <v>102.9</v>
      </c>
      <c r="I133" s="503">
        <v>102.4</v>
      </c>
      <c r="J133" s="503">
        <v>103.5</v>
      </c>
      <c r="K133" s="503">
        <v>102.5</v>
      </c>
      <c r="L133" s="504">
        <v>102.4</v>
      </c>
      <c r="M133" s="490"/>
      <c r="N133" s="641"/>
      <c r="O133" s="631"/>
      <c r="P133" s="631"/>
      <c r="Q133" s="629"/>
      <c r="R133" s="631"/>
      <c r="S133" s="631"/>
      <c r="T133" s="631"/>
      <c r="U133" s="631"/>
      <c r="V133" s="629"/>
      <c r="W133" s="629"/>
    </row>
    <row r="134" spans="1:25" ht="18" customHeight="1" x14ac:dyDescent="0.25">
      <c r="A134" s="431"/>
      <c r="B134" s="555">
        <v>9</v>
      </c>
      <c r="C134" s="501">
        <v>2017</v>
      </c>
      <c r="D134" s="502">
        <v>104.3</v>
      </c>
      <c r="E134" s="503">
        <v>103.5</v>
      </c>
      <c r="F134" s="503">
        <v>103.1</v>
      </c>
      <c r="G134" s="503">
        <v>103.4</v>
      </c>
      <c r="H134" s="503">
        <v>103.2</v>
      </c>
      <c r="I134" s="503">
        <v>102.7</v>
      </c>
      <c r="J134" s="503">
        <v>103.9</v>
      </c>
      <c r="K134" s="503">
        <v>102.8</v>
      </c>
      <c r="L134" s="504">
        <v>103.1</v>
      </c>
      <c r="M134" s="490"/>
      <c r="N134" s="631"/>
      <c r="O134" s="631"/>
      <c r="P134" s="631"/>
      <c r="Q134" s="629"/>
      <c r="R134" s="631"/>
      <c r="S134" s="631"/>
      <c r="T134" s="631"/>
      <c r="U134" s="631"/>
      <c r="V134" s="629"/>
      <c r="W134" s="629"/>
    </row>
    <row r="135" spans="1:25" ht="18" customHeight="1" x14ac:dyDescent="0.25">
      <c r="A135" s="431"/>
      <c r="B135" s="555">
        <v>10</v>
      </c>
      <c r="C135" s="501">
        <v>2017</v>
      </c>
      <c r="D135" s="502">
        <v>104.8</v>
      </c>
      <c r="E135" s="503">
        <v>103.7</v>
      </c>
      <c r="F135" s="503">
        <v>103.2</v>
      </c>
      <c r="G135" s="503">
        <v>103.6</v>
      </c>
      <c r="H135" s="503">
        <v>103.5</v>
      </c>
      <c r="I135" s="503">
        <v>102.9</v>
      </c>
      <c r="J135" s="503">
        <v>104.2</v>
      </c>
      <c r="K135" s="503">
        <v>103</v>
      </c>
      <c r="L135" s="504">
        <v>103.4</v>
      </c>
      <c r="M135" s="490"/>
      <c r="N135" s="631"/>
      <c r="O135" s="631"/>
      <c r="P135" s="631"/>
      <c r="Q135" s="629"/>
      <c r="R135" s="631"/>
      <c r="S135" s="631"/>
      <c r="T135" s="631"/>
      <c r="U135" s="631"/>
      <c r="V135" s="629"/>
      <c r="W135" s="629"/>
    </row>
    <row r="136" spans="1:25" ht="18" customHeight="1" x14ac:dyDescent="0.25">
      <c r="A136" s="431"/>
      <c r="B136" s="555">
        <v>11</v>
      </c>
      <c r="C136" s="501">
        <v>2017</v>
      </c>
      <c r="D136" s="502">
        <v>104.9</v>
      </c>
      <c r="E136" s="503">
        <v>103.8</v>
      </c>
      <c r="F136" s="503">
        <v>103.5</v>
      </c>
      <c r="G136" s="503">
        <v>103.8</v>
      </c>
      <c r="H136" s="503">
        <v>103.7</v>
      </c>
      <c r="I136" s="254">
        <v>103</v>
      </c>
      <c r="J136" s="503">
        <v>104.3</v>
      </c>
      <c r="K136" s="503">
        <v>103.3</v>
      </c>
      <c r="L136" s="504">
        <v>103.4</v>
      </c>
      <c r="M136" s="490"/>
      <c r="N136" s="631"/>
      <c r="O136" s="631"/>
      <c r="P136" s="631"/>
      <c r="Q136" s="629"/>
      <c r="R136" s="631"/>
      <c r="S136" s="631"/>
      <c r="T136" s="631"/>
      <c r="U136" s="631"/>
      <c r="V136" s="629"/>
      <c r="W136" s="629"/>
    </row>
    <row r="137" spans="1:25" ht="18" customHeight="1" thickBot="1" x14ac:dyDescent="0.3">
      <c r="A137" s="431"/>
      <c r="B137" s="574">
        <v>12</v>
      </c>
      <c r="C137" s="575">
        <v>2017</v>
      </c>
      <c r="D137" s="576">
        <v>105.3</v>
      </c>
      <c r="E137" s="577">
        <v>104.6</v>
      </c>
      <c r="F137" s="577">
        <v>103.8</v>
      </c>
      <c r="G137" s="577">
        <v>104.1</v>
      </c>
      <c r="H137" s="577">
        <v>104.1</v>
      </c>
      <c r="I137" s="577">
        <v>103.3</v>
      </c>
      <c r="J137" s="577">
        <v>104.8</v>
      </c>
      <c r="K137" s="577">
        <v>103.8</v>
      </c>
      <c r="L137" s="578">
        <v>104.1</v>
      </c>
      <c r="M137" s="490"/>
      <c r="N137" s="631"/>
      <c r="O137" s="631"/>
      <c r="P137" s="631"/>
      <c r="Q137" s="629"/>
      <c r="R137" s="631"/>
      <c r="S137" s="631"/>
      <c r="T137" s="631"/>
      <c r="U137" s="631"/>
      <c r="V137" s="629"/>
      <c r="W137" s="629"/>
    </row>
    <row r="138" spans="1:25" ht="30" customHeight="1" x14ac:dyDescent="0.25">
      <c r="A138" s="431"/>
      <c r="B138" s="586"/>
      <c r="C138" s="486"/>
      <c r="D138" s="771" t="s">
        <v>138</v>
      </c>
      <c r="E138" s="772"/>
      <c r="F138" s="772"/>
      <c r="G138" s="772"/>
      <c r="H138" s="772"/>
      <c r="I138" s="772"/>
      <c r="J138" s="772"/>
      <c r="K138" s="772"/>
      <c r="L138" s="773"/>
      <c r="M138" s="490"/>
      <c r="N138" s="774"/>
      <c r="O138" s="774"/>
      <c r="P138" s="774"/>
      <c r="Q138" s="774"/>
      <c r="R138" s="774"/>
      <c r="S138" s="774"/>
      <c r="T138" s="774"/>
      <c r="U138" s="774"/>
      <c r="V138" s="774"/>
      <c r="W138" s="774"/>
    </row>
    <row r="139" spans="1:25" ht="35.25" customHeight="1" thickBot="1" x14ac:dyDescent="0.3">
      <c r="A139" s="431"/>
      <c r="B139" s="574"/>
      <c r="C139" s="575"/>
      <c r="D139" s="775" t="s">
        <v>125</v>
      </c>
      <c r="E139" s="776"/>
      <c r="F139" s="776"/>
      <c r="G139" s="776"/>
      <c r="H139" s="776"/>
      <c r="I139" s="776"/>
      <c r="J139" s="776"/>
      <c r="K139" s="776"/>
      <c r="L139" s="777"/>
      <c r="M139" s="490"/>
      <c r="N139" s="778"/>
      <c r="O139" s="778"/>
      <c r="P139" s="778"/>
      <c r="Q139" s="778"/>
      <c r="R139" s="778"/>
      <c r="S139" s="778"/>
      <c r="T139" s="778"/>
      <c r="U139" s="778"/>
      <c r="V139" s="778"/>
      <c r="W139" s="778"/>
    </row>
    <row r="140" spans="1:25" ht="7.5" customHeight="1" x14ac:dyDescent="0.25">
      <c r="A140" s="587"/>
      <c r="B140" s="588"/>
      <c r="C140" s="588"/>
      <c r="D140" s="588"/>
      <c r="E140" s="588"/>
      <c r="F140" s="588"/>
      <c r="G140" s="588"/>
      <c r="H140" s="588"/>
      <c r="I140" s="588"/>
      <c r="J140" s="588"/>
      <c r="K140" s="588"/>
      <c r="L140" s="588"/>
      <c r="M140" s="588"/>
      <c r="N140" s="588"/>
      <c r="O140" s="588"/>
      <c r="P140" s="588"/>
      <c r="Q140" s="588"/>
      <c r="R140" s="588"/>
      <c r="S140" s="588"/>
      <c r="T140" s="588"/>
      <c r="U140" s="588"/>
      <c r="V140" s="588"/>
      <c r="W140" s="588"/>
      <c r="X140" s="589"/>
      <c r="Y140" s="432"/>
    </row>
    <row r="141" spans="1:25" ht="15" hidden="1" customHeight="1" thickBot="1" x14ac:dyDescent="0.3">
      <c r="A141" s="431"/>
      <c r="B141" s="443"/>
      <c r="C141" s="443"/>
      <c r="D141" s="443"/>
      <c r="E141" s="443"/>
      <c r="F141" s="443"/>
      <c r="G141" s="443"/>
      <c r="H141" s="443"/>
      <c r="I141" s="443"/>
      <c r="J141" s="443"/>
      <c r="K141" s="443"/>
      <c r="L141" s="443"/>
      <c r="M141" s="443"/>
      <c r="N141" s="443"/>
      <c r="O141" s="443"/>
      <c r="P141" s="443"/>
      <c r="Q141" s="443"/>
      <c r="R141" s="443"/>
      <c r="S141" s="443"/>
      <c r="T141" s="443"/>
      <c r="U141" s="443"/>
      <c r="V141" s="443"/>
      <c r="W141" s="443"/>
      <c r="X141" s="443"/>
    </row>
    <row r="142" spans="1:25" s="595" customFormat="1" ht="15" hidden="1" customHeight="1" thickBot="1" x14ac:dyDescent="0.3">
      <c r="A142" s="590"/>
      <c r="B142" s="590"/>
      <c r="C142" s="590"/>
      <c r="D142" s="444">
        <v>0.79176563740000006</v>
      </c>
      <c r="E142" s="444">
        <v>0.78616352199999995</v>
      </c>
      <c r="F142" s="444">
        <v>0.77519379840000002</v>
      </c>
      <c r="G142" s="444">
        <v>0.77579519009999998</v>
      </c>
      <c r="H142" s="444">
        <v>0.8006405124</v>
      </c>
      <c r="I142" s="444">
        <v>0.77279752700000004</v>
      </c>
      <c r="J142" s="444">
        <v>0.78864353310000002</v>
      </c>
      <c r="K142" s="444">
        <v>0.78740157479999995</v>
      </c>
      <c r="L142" s="444">
        <v>0.79744816590000001</v>
      </c>
      <c r="M142" s="591"/>
      <c r="N142" s="452">
        <v>2.2719999999999998</v>
      </c>
      <c r="O142" s="449">
        <v>2.89</v>
      </c>
      <c r="P142" s="592">
        <v>3.22</v>
      </c>
      <c r="Q142" s="593">
        <v>4.149</v>
      </c>
      <c r="R142" s="452">
        <v>1.909</v>
      </c>
      <c r="S142" s="593"/>
      <c r="T142" s="449">
        <v>2.1960000000000002</v>
      </c>
      <c r="U142" s="592">
        <v>1.992</v>
      </c>
      <c r="V142" s="452">
        <v>4.24</v>
      </c>
      <c r="W142" s="594">
        <v>4.2050000000000001</v>
      </c>
      <c r="X142" s="590"/>
    </row>
    <row r="143" spans="1:25" ht="15" hidden="1" customHeight="1" x14ac:dyDescent="0.25">
      <c r="A143" s="431"/>
      <c r="B143" s="431"/>
      <c r="C143" s="431"/>
      <c r="D143" s="431"/>
      <c r="E143" s="431"/>
      <c r="F143" s="431"/>
      <c r="G143" s="431"/>
      <c r="H143" s="431"/>
      <c r="I143" s="431"/>
      <c r="J143" s="431"/>
      <c r="K143" s="431"/>
      <c r="L143" s="431"/>
      <c r="M143" s="431"/>
      <c r="N143" s="431"/>
      <c r="O143" s="431"/>
      <c r="P143" s="431"/>
      <c r="Q143" s="431"/>
      <c r="R143" s="431"/>
      <c r="S143" s="431"/>
      <c r="T143" s="431"/>
      <c r="U143" s="431"/>
      <c r="V143" s="431"/>
      <c r="W143" s="431"/>
      <c r="X143" s="431"/>
    </row>
    <row r="144" spans="1:25" ht="15" hidden="1" customHeight="1" x14ac:dyDescent="0.25"/>
    <row r="145" spans="2:23" ht="15" hidden="1" customHeight="1" x14ac:dyDescent="0.25">
      <c r="D145" s="596"/>
      <c r="E145" s="596"/>
      <c r="F145" s="596"/>
      <c r="G145" s="596"/>
      <c r="H145" s="596"/>
      <c r="I145" s="596"/>
      <c r="J145" s="596"/>
      <c r="K145" s="596"/>
      <c r="L145" s="596"/>
      <c r="N145" s="596"/>
      <c r="O145" s="596"/>
      <c r="P145" s="596"/>
      <c r="Q145" s="596"/>
      <c r="R145" s="596"/>
      <c r="S145" s="596"/>
      <c r="T145" s="596"/>
      <c r="U145" s="596"/>
      <c r="V145" s="596"/>
      <c r="W145" s="596"/>
    </row>
    <row r="146" spans="2:23" ht="18" hidden="1" customHeight="1" x14ac:dyDescent="0.25">
      <c r="D146" s="596"/>
      <c r="E146" s="596"/>
      <c r="F146" s="596"/>
      <c r="G146" s="596"/>
      <c r="H146" s="596"/>
      <c r="I146" s="596"/>
      <c r="J146" s="596"/>
      <c r="K146" s="596"/>
      <c r="L146" s="596"/>
      <c r="N146" s="596"/>
      <c r="O146" s="596"/>
      <c r="P146" s="596"/>
      <c r="Q146" s="596"/>
      <c r="R146" s="596"/>
      <c r="S146" s="596"/>
      <c r="T146" s="596"/>
      <c r="U146" s="596"/>
      <c r="V146" s="596"/>
      <c r="W146" s="596"/>
    </row>
    <row r="147" spans="2:23" ht="18" hidden="1" customHeight="1" x14ac:dyDescent="0.25">
      <c r="D147" s="596"/>
      <c r="E147" s="596"/>
      <c r="F147" s="596"/>
      <c r="G147" s="596"/>
      <c r="H147" s="596"/>
      <c r="I147" s="596"/>
      <c r="J147" s="596"/>
      <c r="K147" s="596"/>
      <c r="L147" s="596"/>
      <c r="N147" s="596"/>
      <c r="O147" s="596"/>
      <c r="P147" s="596"/>
      <c r="Q147" s="596"/>
      <c r="R147" s="596"/>
      <c r="S147" s="596"/>
      <c r="T147" s="596"/>
      <c r="U147" s="596"/>
      <c r="V147" s="596"/>
      <c r="W147" s="596"/>
    </row>
    <row r="148" spans="2:23" ht="18" hidden="1" customHeight="1" x14ac:dyDescent="0.25">
      <c r="D148" s="596"/>
      <c r="E148" s="596"/>
      <c r="F148" s="596"/>
      <c r="G148" s="596"/>
      <c r="H148" s="596"/>
      <c r="I148" s="596"/>
      <c r="J148" s="596"/>
      <c r="K148" s="596"/>
      <c r="L148" s="596"/>
      <c r="N148" s="596"/>
      <c r="O148" s="596"/>
      <c r="P148" s="596"/>
      <c r="Q148" s="596"/>
      <c r="R148" s="596"/>
      <c r="S148" s="596"/>
      <c r="T148" s="596"/>
      <c r="U148" s="596"/>
      <c r="V148" s="596"/>
      <c r="W148" s="596"/>
    </row>
    <row r="149" spans="2:23" ht="12.75" customHeight="1" thickBot="1" x14ac:dyDescent="0.3">
      <c r="D149" s="596"/>
      <c r="E149" s="596"/>
      <c r="F149" s="596"/>
      <c r="G149" s="596"/>
      <c r="H149" s="596"/>
      <c r="I149" s="596"/>
      <c r="J149" s="596"/>
      <c r="K149" s="596"/>
      <c r="L149" s="596"/>
      <c r="N149" s="596"/>
      <c r="O149" s="596"/>
      <c r="P149" s="596"/>
      <c r="Q149" s="596"/>
      <c r="R149" s="596"/>
      <c r="S149" s="596"/>
      <c r="T149" s="596"/>
      <c r="U149" s="596"/>
      <c r="V149" s="596"/>
      <c r="W149" s="596"/>
    </row>
    <row r="150" spans="2:23" ht="23.25" customHeight="1" x14ac:dyDescent="0.25">
      <c r="B150" s="745" t="s">
        <v>150</v>
      </c>
      <c r="C150" s="746"/>
      <c r="D150" s="784" t="s">
        <v>185</v>
      </c>
      <c r="E150" s="785"/>
      <c r="F150" s="785"/>
      <c r="G150" s="785"/>
      <c r="H150" s="785"/>
      <c r="I150" s="785"/>
      <c r="J150" s="785"/>
      <c r="K150" s="785"/>
      <c r="L150" s="786"/>
      <c r="M150" s="490"/>
    </row>
    <row r="151" spans="2:23" ht="54" customHeight="1" thickBot="1" x14ac:dyDescent="0.3">
      <c r="B151" s="747"/>
      <c r="C151" s="748"/>
      <c r="D151" s="787" t="s">
        <v>186</v>
      </c>
      <c r="E151" s="788"/>
      <c r="F151" s="788"/>
      <c r="G151" s="788"/>
      <c r="H151" s="788"/>
      <c r="I151" s="788"/>
      <c r="J151" s="788"/>
      <c r="K151" s="788"/>
      <c r="L151" s="789"/>
      <c r="M151" s="490"/>
    </row>
    <row r="152" spans="2:23" ht="52.5" customHeight="1" x14ac:dyDescent="0.25">
      <c r="B152" s="735" t="s">
        <v>72</v>
      </c>
      <c r="C152" s="737" t="s">
        <v>73</v>
      </c>
      <c r="D152" s="739" t="s">
        <v>8</v>
      </c>
      <c r="E152" s="741" t="s">
        <v>67</v>
      </c>
      <c r="F152" s="741" t="s">
        <v>9</v>
      </c>
      <c r="G152" s="741" t="s">
        <v>58</v>
      </c>
      <c r="H152" s="741" t="s">
        <v>68</v>
      </c>
      <c r="I152" s="741" t="s">
        <v>24</v>
      </c>
      <c r="J152" s="741" t="s">
        <v>11</v>
      </c>
      <c r="K152" s="741" t="s">
        <v>12</v>
      </c>
      <c r="L152" s="743" t="s">
        <v>13</v>
      </c>
      <c r="M152" s="482"/>
    </row>
    <row r="153" spans="2:23" ht="32.25" customHeight="1" thickBot="1" x14ac:dyDescent="0.3">
      <c r="B153" s="736"/>
      <c r="C153" s="738"/>
      <c r="D153" s="740"/>
      <c r="E153" s="742"/>
      <c r="F153" s="742"/>
      <c r="G153" s="742"/>
      <c r="H153" s="742"/>
      <c r="I153" s="742"/>
      <c r="J153" s="742"/>
      <c r="K153" s="742"/>
      <c r="L153" s="744"/>
      <c r="M153" s="482"/>
    </row>
    <row r="154" spans="2:23" s="180" customFormat="1" ht="32.25" customHeight="1" x14ac:dyDescent="0.25">
      <c r="B154" s="603" t="s">
        <v>154</v>
      </c>
      <c r="C154" s="604">
        <v>2017</v>
      </c>
      <c r="D154" s="646">
        <v>105.3</v>
      </c>
      <c r="E154" s="647">
        <v>104.6</v>
      </c>
      <c r="F154" s="647">
        <v>103.8</v>
      </c>
      <c r="G154" s="647">
        <v>104.1</v>
      </c>
      <c r="H154" s="647">
        <v>104.1</v>
      </c>
      <c r="I154" s="647">
        <v>103.3</v>
      </c>
      <c r="J154" s="647">
        <v>104.8</v>
      </c>
      <c r="K154" s="647">
        <v>103.8</v>
      </c>
      <c r="L154" s="648">
        <v>104.3</v>
      </c>
      <c r="M154" s="605"/>
    </row>
    <row r="155" spans="2:23" ht="18" customHeight="1" x14ac:dyDescent="0.25">
      <c r="B155" s="205" t="s">
        <v>165</v>
      </c>
      <c r="C155" s="501">
        <v>2018</v>
      </c>
      <c r="D155" s="649">
        <v>105.7</v>
      </c>
      <c r="E155" s="650">
        <v>104.9</v>
      </c>
      <c r="F155" s="650">
        <v>104.3</v>
      </c>
      <c r="G155" s="650">
        <v>104.6</v>
      </c>
      <c r="H155" s="650">
        <v>104.4</v>
      </c>
      <c r="I155" s="650">
        <v>103.7</v>
      </c>
      <c r="J155" s="650">
        <v>105.1</v>
      </c>
      <c r="K155" s="650">
        <v>104.2</v>
      </c>
      <c r="L155" s="651">
        <v>104.3</v>
      </c>
      <c r="M155" s="609"/>
    </row>
    <row r="156" spans="2:23" ht="18" customHeight="1" x14ac:dyDescent="0.25">
      <c r="B156" s="205" t="s">
        <v>166</v>
      </c>
      <c r="C156" s="501">
        <v>2018</v>
      </c>
      <c r="D156" s="649">
        <v>106.7</v>
      </c>
      <c r="E156" s="650">
        <v>105.6</v>
      </c>
      <c r="F156" s="650">
        <v>105</v>
      </c>
      <c r="G156" s="650">
        <v>105.4</v>
      </c>
      <c r="H156" s="650">
        <v>104.9</v>
      </c>
      <c r="I156" s="650">
        <v>104.5</v>
      </c>
      <c r="J156" s="650">
        <v>105.9</v>
      </c>
      <c r="K156" s="650">
        <v>104.7</v>
      </c>
      <c r="L156" s="651">
        <v>104.9</v>
      </c>
      <c r="M156" s="612"/>
    </row>
    <row r="157" spans="2:23" ht="18" customHeight="1" x14ac:dyDescent="0.2">
      <c r="B157" s="205" t="s">
        <v>167</v>
      </c>
      <c r="C157" s="501">
        <v>2018</v>
      </c>
      <c r="D157" s="654">
        <v>107</v>
      </c>
      <c r="E157" s="655">
        <v>106</v>
      </c>
      <c r="F157" s="655">
        <v>105.1</v>
      </c>
      <c r="G157" s="655">
        <v>105.7</v>
      </c>
      <c r="H157" s="655">
        <v>105.2</v>
      </c>
      <c r="I157" s="655">
        <v>104.8</v>
      </c>
      <c r="J157" s="655">
        <v>106.4</v>
      </c>
      <c r="K157" s="655">
        <v>105</v>
      </c>
      <c r="L157" s="656">
        <v>105</v>
      </c>
      <c r="M157" s="612"/>
    </row>
    <row r="158" spans="2:23" ht="18" customHeight="1" x14ac:dyDescent="0.2">
      <c r="B158" s="205" t="s">
        <v>168</v>
      </c>
      <c r="C158" s="501">
        <v>2018</v>
      </c>
      <c r="D158" s="654">
        <v>107.9</v>
      </c>
      <c r="E158" s="655">
        <v>106.8</v>
      </c>
      <c r="F158" s="655">
        <v>105.9</v>
      </c>
      <c r="G158" s="655">
        <v>106.4</v>
      </c>
      <c r="H158" s="655">
        <v>105.9</v>
      </c>
      <c r="I158" s="655">
        <v>105.4</v>
      </c>
      <c r="J158" s="655">
        <v>107.2</v>
      </c>
      <c r="K158" s="655">
        <v>105.7</v>
      </c>
      <c r="L158" s="656">
        <v>105.7</v>
      </c>
      <c r="M158" s="612"/>
    </row>
    <row r="159" spans="2:23" ht="18" customHeight="1" x14ac:dyDescent="0.2">
      <c r="B159" s="205" t="s">
        <v>169</v>
      </c>
      <c r="C159" s="501">
        <v>2018</v>
      </c>
      <c r="D159" s="654">
        <v>108</v>
      </c>
      <c r="E159" s="655">
        <v>106.8</v>
      </c>
      <c r="F159" s="655">
        <v>105.9</v>
      </c>
      <c r="G159" s="655">
        <v>106.7</v>
      </c>
      <c r="H159" s="655">
        <v>106.2</v>
      </c>
      <c r="I159" s="655">
        <v>105.7</v>
      </c>
      <c r="J159" s="655">
        <v>107.4</v>
      </c>
      <c r="K159" s="655">
        <v>105.8</v>
      </c>
      <c r="L159" s="656">
        <v>105.8</v>
      </c>
      <c r="M159" s="612"/>
    </row>
    <row r="160" spans="2:23" ht="18" customHeight="1" x14ac:dyDescent="0.2">
      <c r="B160" s="205" t="s">
        <v>170</v>
      </c>
      <c r="C160" s="501">
        <v>2018</v>
      </c>
      <c r="D160" s="654">
        <v>108.5</v>
      </c>
      <c r="E160" s="655">
        <v>107.1</v>
      </c>
      <c r="F160" s="655">
        <v>106.3</v>
      </c>
      <c r="G160" s="655">
        <v>107.4</v>
      </c>
      <c r="H160" s="655">
        <v>106.4</v>
      </c>
      <c r="I160" s="655">
        <v>105.9</v>
      </c>
      <c r="J160" s="655">
        <v>107.9</v>
      </c>
      <c r="K160" s="655">
        <v>106.2</v>
      </c>
      <c r="L160" s="656">
        <v>106.1</v>
      </c>
      <c r="M160" s="612"/>
    </row>
    <row r="161" spans="2:13" ht="18" customHeight="1" x14ac:dyDescent="0.2">
      <c r="B161" s="205" t="s">
        <v>171</v>
      </c>
      <c r="C161" s="501">
        <v>2018</v>
      </c>
      <c r="D161" s="654">
        <v>109.3</v>
      </c>
      <c r="E161" s="655">
        <v>107.6</v>
      </c>
      <c r="F161" s="655">
        <v>106.7</v>
      </c>
      <c r="G161" s="655">
        <v>107.7</v>
      </c>
      <c r="H161" s="655">
        <v>107.3</v>
      </c>
      <c r="I161" s="655">
        <v>106.5</v>
      </c>
      <c r="J161" s="655">
        <v>108.9</v>
      </c>
      <c r="K161" s="655">
        <v>106.7</v>
      </c>
      <c r="L161" s="656">
        <v>106.7</v>
      </c>
      <c r="M161" s="612"/>
    </row>
    <row r="162" spans="2:13" ht="18" customHeight="1" x14ac:dyDescent="0.2">
      <c r="B162" s="205" t="s">
        <v>172</v>
      </c>
      <c r="C162" s="501">
        <v>2018</v>
      </c>
      <c r="D162" s="654">
        <v>109.3</v>
      </c>
      <c r="E162" s="655">
        <v>107.6</v>
      </c>
      <c r="F162" s="655">
        <v>106.7</v>
      </c>
      <c r="G162" s="655">
        <v>107.6</v>
      </c>
      <c r="H162" s="655">
        <v>107.2</v>
      </c>
      <c r="I162" s="655">
        <v>106.5</v>
      </c>
      <c r="J162" s="655">
        <v>108.9</v>
      </c>
      <c r="K162" s="655">
        <v>106.6</v>
      </c>
      <c r="L162" s="656">
        <v>106.8</v>
      </c>
      <c r="M162" s="612"/>
    </row>
    <row r="163" spans="2:13" ht="18" customHeight="1" x14ac:dyDescent="0.2">
      <c r="B163" s="205" t="s">
        <v>173</v>
      </c>
      <c r="C163" s="501">
        <v>2018</v>
      </c>
      <c r="D163" s="654">
        <v>110.1</v>
      </c>
      <c r="E163" s="655">
        <v>108.2</v>
      </c>
      <c r="F163" s="655">
        <v>107.5</v>
      </c>
      <c r="G163" s="655">
        <v>108.1</v>
      </c>
      <c r="H163" s="655">
        <v>107.6</v>
      </c>
      <c r="I163" s="655">
        <v>107</v>
      </c>
      <c r="J163" s="655">
        <v>109.2</v>
      </c>
      <c r="K163" s="655">
        <v>107.7</v>
      </c>
      <c r="L163" s="656">
        <v>107.1</v>
      </c>
      <c r="M163" s="612"/>
    </row>
    <row r="164" spans="2:13" ht="18" customHeight="1" x14ac:dyDescent="0.2">
      <c r="B164" s="205" t="s">
        <v>174</v>
      </c>
      <c r="C164" s="501">
        <v>2018</v>
      </c>
      <c r="D164" s="654">
        <v>110.5</v>
      </c>
      <c r="E164" s="655">
        <v>108.8</v>
      </c>
      <c r="F164" s="655">
        <v>107.8</v>
      </c>
      <c r="G164" s="655">
        <v>108.5</v>
      </c>
      <c r="H164" s="655">
        <v>108.1</v>
      </c>
      <c r="I164" s="655">
        <v>107.4</v>
      </c>
      <c r="J164" s="655">
        <v>109.7</v>
      </c>
      <c r="K164" s="655">
        <v>108.2</v>
      </c>
      <c r="L164" s="656">
        <v>107.5</v>
      </c>
      <c r="M164" s="612"/>
    </row>
    <row r="165" spans="2:13" ht="18" customHeight="1" x14ac:dyDescent="0.2">
      <c r="B165" s="205" t="s">
        <v>175</v>
      </c>
      <c r="C165" s="601">
        <v>2018</v>
      </c>
      <c r="D165" s="654">
        <v>110.9</v>
      </c>
      <c r="E165" s="655">
        <v>108.9</v>
      </c>
      <c r="F165" s="655">
        <v>108.1</v>
      </c>
      <c r="G165" s="655">
        <v>108.7</v>
      </c>
      <c r="H165" s="655">
        <v>108.4</v>
      </c>
      <c r="I165" s="655">
        <v>107.5</v>
      </c>
      <c r="J165" s="655">
        <v>109.9</v>
      </c>
      <c r="K165" s="655">
        <v>108.3</v>
      </c>
      <c r="L165" s="656">
        <v>107.8</v>
      </c>
      <c r="M165" s="612"/>
    </row>
    <row r="166" spans="2:13" ht="18" customHeight="1" thickBot="1" x14ac:dyDescent="0.25">
      <c r="B166" s="205" t="s">
        <v>176</v>
      </c>
      <c r="C166" s="575">
        <v>2018</v>
      </c>
      <c r="D166" s="654">
        <v>110.8</v>
      </c>
      <c r="E166" s="655">
        <v>108.7</v>
      </c>
      <c r="F166" s="655">
        <v>108</v>
      </c>
      <c r="G166" s="655">
        <v>108.7</v>
      </c>
      <c r="H166" s="655">
        <v>108.1</v>
      </c>
      <c r="I166" s="655">
        <v>106.9</v>
      </c>
      <c r="J166" s="655">
        <v>109.6</v>
      </c>
      <c r="K166" s="655">
        <v>108</v>
      </c>
      <c r="L166" s="656">
        <v>107.8</v>
      </c>
      <c r="M166" s="612"/>
    </row>
    <row r="167" spans="2:13" ht="18" customHeight="1" x14ac:dyDescent="0.25">
      <c r="B167" s="640"/>
      <c r="C167" s="486"/>
      <c r="D167" s="781"/>
      <c r="E167" s="782"/>
      <c r="F167" s="782"/>
      <c r="G167" s="782"/>
      <c r="H167" s="782"/>
      <c r="I167" s="782"/>
      <c r="J167" s="782"/>
      <c r="K167" s="782"/>
      <c r="L167" s="783"/>
      <c r="M167" s="612"/>
    </row>
    <row r="168" spans="2:13" ht="18" customHeight="1" thickBot="1" x14ac:dyDescent="0.3">
      <c r="B168" s="574"/>
      <c r="C168" s="575"/>
      <c r="D168" s="720"/>
      <c r="E168" s="721"/>
      <c r="F168" s="721"/>
      <c r="G168" s="721"/>
      <c r="H168" s="721"/>
      <c r="I168" s="721"/>
      <c r="J168" s="721"/>
      <c r="K168" s="721"/>
      <c r="L168" s="722"/>
      <c r="M168" s="612"/>
    </row>
    <row r="169" spans="2:13" ht="18" customHeight="1" x14ac:dyDescent="0.25">
      <c r="B169" s="456"/>
      <c r="C169" s="456"/>
      <c r="D169" s="666"/>
      <c r="E169" s="666"/>
      <c r="F169" s="666"/>
      <c r="G169" s="666"/>
      <c r="H169" s="666"/>
      <c r="I169" s="666"/>
      <c r="J169" s="666"/>
      <c r="K169" s="666"/>
      <c r="L169" s="666"/>
      <c r="M169" s="612"/>
    </row>
    <row r="170" spans="2:13" ht="18" customHeight="1" x14ac:dyDescent="0.25">
      <c r="B170" s="456"/>
      <c r="C170" s="456"/>
      <c r="D170" s="666"/>
      <c r="E170" s="666"/>
      <c r="F170" s="666"/>
      <c r="G170" s="666"/>
      <c r="H170" s="666"/>
      <c r="I170" s="666"/>
      <c r="J170" s="666"/>
      <c r="K170" s="666"/>
      <c r="L170" s="666"/>
      <c r="M170" s="612"/>
    </row>
    <row r="171" spans="2:13" ht="4.5" customHeight="1" thickBot="1" x14ac:dyDescent="0.3">
      <c r="D171" s="596"/>
      <c r="E171" s="596"/>
      <c r="F171" s="596"/>
      <c r="G171" s="596"/>
      <c r="H171" s="596"/>
      <c r="I171" s="596"/>
      <c r="J171" s="596"/>
      <c r="K171" s="596"/>
      <c r="L171" s="596"/>
      <c r="M171" s="612"/>
    </row>
    <row r="172" spans="2:13" ht="18" customHeight="1" x14ac:dyDescent="0.25">
      <c r="B172" s="749" t="s">
        <v>187</v>
      </c>
      <c r="C172" s="746"/>
      <c r="D172" s="750" t="s">
        <v>185</v>
      </c>
      <c r="E172" s="751"/>
      <c r="F172" s="751"/>
      <c r="G172" s="751"/>
      <c r="H172" s="751"/>
      <c r="I172" s="751"/>
      <c r="J172" s="751"/>
      <c r="K172" s="751"/>
      <c r="L172" s="752"/>
      <c r="M172" s="612"/>
    </row>
    <row r="173" spans="2:13" ht="47.25" customHeight="1" thickBot="1" x14ac:dyDescent="0.3">
      <c r="B173" s="747"/>
      <c r="C173" s="748"/>
      <c r="D173" s="753" t="s">
        <v>186</v>
      </c>
      <c r="E173" s="754"/>
      <c r="F173" s="754"/>
      <c r="G173" s="754"/>
      <c r="H173" s="754"/>
      <c r="I173" s="754"/>
      <c r="J173" s="754"/>
      <c r="K173" s="754"/>
      <c r="L173" s="755"/>
      <c r="M173" s="612"/>
    </row>
    <row r="174" spans="2:13" ht="18" customHeight="1" x14ac:dyDescent="0.25">
      <c r="B174" s="735" t="s">
        <v>72</v>
      </c>
      <c r="C174" s="737" t="s">
        <v>73</v>
      </c>
      <c r="D174" s="739" t="s">
        <v>8</v>
      </c>
      <c r="E174" s="741" t="s">
        <v>67</v>
      </c>
      <c r="F174" s="741" t="s">
        <v>9</v>
      </c>
      <c r="G174" s="741" t="s">
        <v>58</v>
      </c>
      <c r="H174" s="741" t="s">
        <v>68</v>
      </c>
      <c r="I174" s="741" t="s">
        <v>24</v>
      </c>
      <c r="J174" s="741" t="s">
        <v>11</v>
      </c>
      <c r="K174" s="741" t="s">
        <v>12</v>
      </c>
      <c r="L174" s="743" t="s">
        <v>13</v>
      </c>
      <c r="M174" s="612"/>
    </row>
    <row r="175" spans="2:13" ht="18" customHeight="1" thickBot="1" x14ac:dyDescent="0.3">
      <c r="B175" s="736"/>
      <c r="C175" s="738"/>
      <c r="D175" s="740"/>
      <c r="E175" s="742"/>
      <c r="F175" s="742"/>
      <c r="G175" s="742"/>
      <c r="H175" s="742"/>
      <c r="I175" s="742"/>
      <c r="J175" s="742"/>
      <c r="K175" s="742"/>
      <c r="L175" s="744"/>
      <c r="M175" s="612"/>
    </row>
    <row r="176" spans="2:13" ht="18" customHeight="1" x14ac:dyDescent="0.25">
      <c r="B176" s="205" t="s">
        <v>165</v>
      </c>
      <c r="C176" s="501">
        <v>2019</v>
      </c>
      <c r="D176" s="649">
        <v>110.6</v>
      </c>
      <c r="E176" s="650">
        <v>108.7</v>
      </c>
      <c r="F176" s="650">
        <v>108.2</v>
      </c>
      <c r="G176" s="650">
        <v>108.9</v>
      </c>
      <c r="H176" s="650">
        <v>108.2</v>
      </c>
      <c r="I176" s="650">
        <v>107.1</v>
      </c>
      <c r="J176" s="650">
        <v>109.4</v>
      </c>
      <c r="K176" s="650">
        <v>108.1</v>
      </c>
      <c r="L176" s="651">
        <v>107.9</v>
      </c>
      <c r="M176" s="612"/>
    </row>
    <row r="177" spans="2:13" ht="18" customHeight="1" x14ac:dyDescent="0.25">
      <c r="B177" s="205" t="s">
        <v>166</v>
      </c>
      <c r="C177" s="501">
        <v>2019</v>
      </c>
      <c r="D177" s="649">
        <v>111.7</v>
      </c>
      <c r="E177" s="650">
        <v>109.8</v>
      </c>
      <c r="F177" s="650">
        <v>108.9</v>
      </c>
      <c r="G177" s="650">
        <v>109.7</v>
      </c>
      <c r="H177" s="650">
        <v>108.7</v>
      </c>
      <c r="I177" s="650">
        <v>107.9</v>
      </c>
      <c r="J177" s="650">
        <v>110.3</v>
      </c>
      <c r="K177" s="650">
        <v>108.9</v>
      </c>
      <c r="L177" s="651">
        <v>108.8</v>
      </c>
      <c r="M177" s="612"/>
    </row>
    <row r="178" spans="2:13" ht="18" customHeight="1" x14ac:dyDescent="0.2">
      <c r="B178" s="205" t="s">
        <v>167</v>
      </c>
      <c r="C178" s="501">
        <v>2019</v>
      </c>
      <c r="D178" s="654">
        <v>112.9</v>
      </c>
      <c r="E178" s="655">
        <v>110.2</v>
      </c>
      <c r="F178" s="655">
        <v>109.7</v>
      </c>
      <c r="G178" s="655">
        <v>110.6</v>
      </c>
      <c r="H178" s="655">
        <v>109.5</v>
      </c>
      <c r="I178" s="655">
        <v>108.8</v>
      </c>
      <c r="J178" s="655">
        <v>111</v>
      </c>
      <c r="K178" s="655">
        <v>109.6</v>
      </c>
      <c r="L178" s="656">
        <v>110</v>
      </c>
      <c r="M178" s="612"/>
    </row>
    <row r="179" spans="2:13" ht="18" customHeight="1" x14ac:dyDescent="0.2">
      <c r="B179" s="205" t="s">
        <v>168</v>
      </c>
      <c r="C179" s="501">
        <v>2019</v>
      </c>
      <c r="D179" s="654">
        <v>113.5</v>
      </c>
      <c r="E179" s="655">
        <v>110.9</v>
      </c>
      <c r="F179" s="655">
        <v>110.3</v>
      </c>
      <c r="G179" s="655">
        <v>111.2</v>
      </c>
      <c r="H179" s="655">
        <v>110</v>
      </c>
      <c r="I179" s="655">
        <v>109.5</v>
      </c>
      <c r="J179" s="655">
        <v>111.7</v>
      </c>
      <c r="K179" s="655">
        <v>110.2</v>
      </c>
      <c r="L179" s="656">
        <v>110.4</v>
      </c>
      <c r="M179" s="612"/>
    </row>
    <row r="180" spans="2:13" ht="18" customHeight="1" x14ac:dyDescent="0.2">
      <c r="B180" s="205" t="s">
        <v>169</v>
      </c>
      <c r="C180" s="501">
        <v>2019</v>
      </c>
      <c r="D180" s="654">
        <v>113.8</v>
      </c>
      <c r="E180" s="655">
        <v>111</v>
      </c>
      <c r="F180" s="655">
        <v>110.4</v>
      </c>
      <c r="G180" s="655">
        <v>111.4</v>
      </c>
      <c r="H180" s="655">
        <v>110.4</v>
      </c>
      <c r="I180" s="655">
        <v>109.7</v>
      </c>
      <c r="J180" s="655">
        <v>112.1</v>
      </c>
      <c r="K180" s="655">
        <v>110.5</v>
      </c>
      <c r="L180" s="656">
        <v>111.1</v>
      </c>
      <c r="M180" s="612"/>
    </row>
    <row r="181" spans="2:13" ht="18" customHeight="1" x14ac:dyDescent="0.2">
      <c r="B181" s="205" t="s">
        <v>170</v>
      </c>
      <c r="C181" s="501">
        <v>2019</v>
      </c>
      <c r="D181" s="654">
        <v>114.3</v>
      </c>
      <c r="E181" s="655">
        <v>111.3</v>
      </c>
      <c r="F181" s="655">
        <v>110.9</v>
      </c>
      <c r="G181" s="655">
        <v>111.6</v>
      </c>
      <c r="H181" s="655">
        <v>110.7</v>
      </c>
      <c r="I181" s="655">
        <v>110</v>
      </c>
      <c r="J181" s="655">
        <v>112.5</v>
      </c>
      <c r="K181" s="655">
        <v>110.8</v>
      </c>
      <c r="L181" s="656">
        <v>111.1</v>
      </c>
      <c r="M181" s="612"/>
    </row>
    <row r="182" spans="2:13" ht="18" customHeight="1" x14ac:dyDescent="0.2">
      <c r="B182" s="205" t="s">
        <v>171</v>
      </c>
      <c r="C182" s="501">
        <v>2019</v>
      </c>
      <c r="D182" s="654">
        <v>114.6</v>
      </c>
      <c r="E182" s="655">
        <v>111.7</v>
      </c>
      <c r="F182" s="655">
        <v>111.5</v>
      </c>
      <c r="G182" s="655">
        <v>111.9</v>
      </c>
      <c r="H182" s="655">
        <v>111.3</v>
      </c>
      <c r="I182" s="655">
        <v>110.3</v>
      </c>
      <c r="J182" s="655">
        <v>113</v>
      </c>
      <c r="K182" s="655">
        <v>111.1</v>
      </c>
      <c r="L182" s="656">
        <v>111.7</v>
      </c>
      <c r="M182" s="612"/>
    </row>
    <row r="183" spans="2:13" ht="18" customHeight="1" x14ac:dyDescent="0.2">
      <c r="B183" s="205" t="s">
        <v>172</v>
      </c>
      <c r="C183" s="501">
        <v>2019</v>
      </c>
      <c r="D183" s="654">
        <v>114.7</v>
      </c>
      <c r="E183" s="655">
        <v>111.9</v>
      </c>
      <c r="F183" s="655">
        <v>111.6</v>
      </c>
      <c r="G183" s="655">
        <v>112.1</v>
      </c>
      <c r="H183" s="655">
        <v>111.6</v>
      </c>
      <c r="I183" s="655">
        <v>110.6</v>
      </c>
      <c r="J183" s="655">
        <v>113.4</v>
      </c>
      <c r="K183" s="655">
        <v>111.3</v>
      </c>
      <c r="L183" s="656">
        <v>111.8</v>
      </c>
      <c r="M183" s="612"/>
    </row>
    <row r="184" spans="2:13" ht="18" customHeight="1" x14ac:dyDescent="0.2">
      <c r="B184" s="205" t="s">
        <v>173</v>
      </c>
      <c r="C184" s="501">
        <v>2019</v>
      </c>
      <c r="D184" s="654">
        <v>115.2</v>
      </c>
      <c r="E184" s="655">
        <v>112.2</v>
      </c>
      <c r="F184" s="655">
        <v>111.9</v>
      </c>
      <c r="G184" s="655">
        <v>112.4</v>
      </c>
      <c r="H184" s="655">
        <v>111.9</v>
      </c>
      <c r="I184" s="655">
        <v>110.8</v>
      </c>
      <c r="J184" s="655">
        <v>113.6</v>
      </c>
      <c r="K184" s="655">
        <v>111.7</v>
      </c>
      <c r="L184" s="656">
        <v>112.2</v>
      </c>
      <c r="M184" s="612"/>
    </row>
    <row r="185" spans="2:13" ht="18" customHeight="1" x14ac:dyDescent="0.2">
      <c r="B185" s="205" t="s">
        <v>174</v>
      </c>
      <c r="C185" s="501">
        <v>2019</v>
      </c>
      <c r="D185" s="654">
        <v>115.2</v>
      </c>
      <c r="E185" s="655">
        <v>112.2</v>
      </c>
      <c r="F185" s="655">
        <v>111.9</v>
      </c>
      <c r="G185" s="655">
        <v>112.5</v>
      </c>
      <c r="H185" s="655">
        <v>112</v>
      </c>
      <c r="I185" s="655">
        <v>110.8</v>
      </c>
      <c r="J185" s="655">
        <v>113.6</v>
      </c>
      <c r="K185" s="655">
        <v>111.8</v>
      </c>
      <c r="L185" s="656">
        <v>112.3</v>
      </c>
      <c r="M185" s="612"/>
    </row>
    <row r="186" spans="2:13" ht="18" customHeight="1" x14ac:dyDescent="0.2">
      <c r="B186" s="205" t="s">
        <v>175</v>
      </c>
      <c r="C186" s="501">
        <v>2019</v>
      </c>
      <c r="D186" s="654">
        <v>115.4</v>
      </c>
      <c r="E186" s="655">
        <v>112.4</v>
      </c>
      <c r="F186" s="655">
        <v>111.9</v>
      </c>
      <c r="G186" s="655">
        <v>112.6</v>
      </c>
      <c r="H186" s="655">
        <v>112.1</v>
      </c>
      <c r="I186" s="655">
        <v>111</v>
      </c>
      <c r="J186" s="655">
        <v>113.6</v>
      </c>
      <c r="K186" s="655">
        <v>112.1</v>
      </c>
      <c r="L186" s="656">
        <v>112.2</v>
      </c>
      <c r="M186" s="612"/>
    </row>
    <row r="187" spans="2:13" ht="18" customHeight="1" thickBot="1" x14ac:dyDescent="0.25">
      <c r="B187" s="205" t="s">
        <v>176</v>
      </c>
      <c r="C187" s="601">
        <v>2019</v>
      </c>
      <c r="D187" s="669">
        <v>115.7</v>
      </c>
      <c r="E187" s="670">
        <v>112.7</v>
      </c>
      <c r="F187" s="670">
        <v>112.3</v>
      </c>
      <c r="G187" s="670">
        <v>112.8</v>
      </c>
      <c r="H187" s="670">
        <v>112.1</v>
      </c>
      <c r="I187" s="670">
        <v>111.1</v>
      </c>
      <c r="J187" s="670">
        <v>113.9</v>
      </c>
      <c r="K187" s="670">
        <v>112.2</v>
      </c>
      <c r="L187" s="671">
        <v>112.9</v>
      </c>
      <c r="M187" s="612"/>
    </row>
    <row r="188" spans="2:13" ht="18" customHeight="1" x14ac:dyDescent="0.25">
      <c r="B188" s="640"/>
      <c r="C188" s="672"/>
      <c r="D188" s="717"/>
      <c r="E188" s="718"/>
      <c r="F188" s="718"/>
      <c r="G188" s="718"/>
      <c r="H188" s="718"/>
      <c r="I188" s="718"/>
      <c r="J188" s="718"/>
      <c r="K188" s="718"/>
      <c r="L188" s="719"/>
      <c r="M188" s="612"/>
    </row>
    <row r="189" spans="2:13" ht="18" customHeight="1" thickBot="1" x14ac:dyDescent="0.3">
      <c r="B189" s="574"/>
      <c r="C189" s="575"/>
      <c r="D189" s="720"/>
      <c r="E189" s="721"/>
      <c r="F189" s="721"/>
      <c r="G189" s="721"/>
      <c r="H189" s="721"/>
      <c r="I189" s="721"/>
      <c r="J189" s="721"/>
      <c r="K189" s="721"/>
      <c r="L189" s="722"/>
      <c r="M189" s="612"/>
    </row>
    <row r="190" spans="2:13" ht="18" customHeight="1" x14ac:dyDescent="0.25">
      <c r="B190" s="456"/>
      <c r="C190" s="456"/>
      <c r="D190" s="666"/>
      <c r="E190" s="666"/>
      <c r="F190" s="666"/>
      <c r="G190" s="666"/>
      <c r="H190" s="666"/>
      <c r="I190" s="666"/>
      <c r="J190" s="666"/>
      <c r="K190" s="666"/>
      <c r="L190" s="666"/>
      <c r="M190" s="612"/>
    </row>
    <row r="191" spans="2:13" ht="18" customHeight="1" x14ac:dyDescent="0.25">
      <c r="B191" s="456"/>
      <c r="C191" s="456"/>
      <c r="D191" s="666"/>
      <c r="E191" s="666"/>
      <c r="F191" s="666"/>
      <c r="G191" s="666"/>
      <c r="H191" s="666"/>
      <c r="I191" s="666"/>
      <c r="J191" s="666"/>
      <c r="K191" s="666"/>
      <c r="L191" s="666"/>
      <c r="M191" s="612"/>
    </row>
    <row r="192" spans="2:13" ht="3.75" customHeight="1" thickBot="1" x14ac:dyDescent="0.3">
      <c r="B192" s="456"/>
      <c r="C192" s="456"/>
      <c r="D192" s="666"/>
      <c r="E192" s="666"/>
      <c r="F192" s="666"/>
      <c r="G192" s="666"/>
      <c r="H192" s="666"/>
      <c r="I192" s="666"/>
      <c r="J192" s="666"/>
      <c r="K192" s="666"/>
      <c r="L192" s="666"/>
      <c r="M192" s="612"/>
    </row>
    <row r="193" spans="2:13" ht="18" customHeight="1" x14ac:dyDescent="0.25">
      <c r="B193" s="790" t="s">
        <v>188</v>
      </c>
      <c r="C193" s="791"/>
      <c r="D193" s="729" t="s">
        <v>185</v>
      </c>
      <c r="E193" s="730"/>
      <c r="F193" s="730"/>
      <c r="G193" s="730"/>
      <c r="H193" s="730"/>
      <c r="I193" s="730"/>
      <c r="J193" s="730"/>
      <c r="K193" s="730"/>
      <c r="L193" s="731"/>
      <c r="M193" s="612"/>
    </row>
    <row r="194" spans="2:13" ht="41.25" customHeight="1" thickBot="1" x14ac:dyDescent="0.3">
      <c r="B194" s="792"/>
      <c r="C194" s="793"/>
      <c r="D194" s="732" t="s">
        <v>186</v>
      </c>
      <c r="E194" s="733"/>
      <c r="F194" s="733"/>
      <c r="G194" s="733"/>
      <c r="H194" s="733"/>
      <c r="I194" s="733"/>
      <c r="J194" s="733"/>
      <c r="K194" s="733"/>
      <c r="L194" s="734"/>
      <c r="M194" s="612"/>
    </row>
    <row r="195" spans="2:13" ht="18" customHeight="1" x14ac:dyDescent="0.25">
      <c r="B195" s="735" t="s">
        <v>72</v>
      </c>
      <c r="C195" s="737" t="s">
        <v>73</v>
      </c>
      <c r="D195" s="739" t="s">
        <v>8</v>
      </c>
      <c r="E195" s="741" t="s">
        <v>67</v>
      </c>
      <c r="F195" s="741" t="s">
        <v>9</v>
      </c>
      <c r="G195" s="741" t="s">
        <v>58</v>
      </c>
      <c r="H195" s="741" t="s">
        <v>68</v>
      </c>
      <c r="I195" s="741" t="s">
        <v>24</v>
      </c>
      <c r="J195" s="741" t="s">
        <v>11</v>
      </c>
      <c r="K195" s="741" t="s">
        <v>12</v>
      </c>
      <c r="L195" s="743" t="s">
        <v>13</v>
      </c>
      <c r="M195" s="612"/>
    </row>
    <row r="196" spans="2:13" ht="18" customHeight="1" thickBot="1" x14ac:dyDescent="0.3">
      <c r="B196" s="736"/>
      <c r="C196" s="738"/>
      <c r="D196" s="740"/>
      <c r="E196" s="742"/>
      <c r="F196" s="742"/>
      <c r="G196" s="742"/>
      <c r="H196" s="742"/>
      <c r="I196" s="742"/>
      <c r="J196" s="742"/>
      <c r="K196" s="742"/>
      <c r="L196" s="744"/>
      <c r="M196" s="612"/>
    </row>
    <row r="197" spans="2:13" ht="18" customHeight="1" x14ac:dyDescent="0.25">
      <c r="B197" s="205" t="s">
        <v>165</v>
      </c>
      <c r="C197" s="501">
        <v>2020</v>
      </c>
      <c r="D197" s="649">
        <v>116.2</v>
      </c>
      <c r="E197" s="650">
        <v>113</v>
      </c>
      <c r="F197" s="650">
        <v>113</v>
      </c>
      <c r="G197" s="650">
        <v>113.3</v>
      </c>
      <c r="H197" s="650">
        <v>112.5</v>
      </c>
      <c r="I197" s="650">
        <v>111.5</v>
      </c>
      <c r="J197" s="650">
        <v>114.2</v>
      </c>
      <c r="K197" s="650">
        <v>112.6</v>
      </c>
      <c r="L197" s="651">
        <v>113</v>
      </c>
      <c r="M197" s="612"/>
    </row>
    <row r="198" spans="2:13" ht="18" customHeight="1" x14ac:dyDescent="0.25">
      <c r="B198" s="205" t="s">
        <v>166</v>
      </c>
      <c r="C198" s="501">
        <v>2020</v>
      </c>
      <c r="D198" s="649">
        <v>117.6</v>
      </c>
      <c r="E198" s="650">
        <v>114.1</v>
      </c>
      <c r="F198" s="650">
        <v>114</v>
      </c>
      <c r="G198" s="650">
        <v>114.2</v>
      </c>
      <c r="H198" s="650">
        <v>113.4</v>
      </c>
      <c r="I198" s="650">
        <v>112.4</v>
      </c>
      <c r="J198" s="650">
        <v>115.2</v>
      </c>
      <c r="K198" s="650">
        <v>113.4</v>
      </c>
      <c r="L198" s="651">
        <v>113.8</v>
      </c>
      <c r="M198" s="612"/>
    </row>
    <row r="199" spans="2:13" ht="18" customHeight="1" x14ac:dyDescent="0.2">
      <c r="B199" s="205" t="s">
        <v>167</v>
      </c>
      <c r="C199" s="501">
        <v>2020</v>
      </c>
      <c r="D199" s="654">
        <v>118.3</v>
      </c>
      <c r="E199" s="655">
        <v>114.3</v>
      </c>
      <c r="F199" s="655">
        <v>114.2</v>
      </c>
      <c r="G199" s="655">
        <v>114.7</v>
      </c>
      <c r="H199" s="655">
        <v>113.9</v>
      </c>
      <c r="I199" s="655">
        <v>112.9</v>
      </c>
      <c r="J199" s="655">
        <v>115.5</v>
      </c>
      <c r="K199" s="655">
        <v>113.8</v>
      </c>
      <c r="L199" s="656">
        <v>114</v>
      </c>
      <c r="M199" s="612"/>
    </row>
    <row r="200" spans="2:13" ht="18" customHeight="1" x14ac:dyDescent="0.2">
      <c r="B200" s="205" t="s">
        <v>168</v>
      </c>
      <c r="C200" s="501">
        <v>2020</v>
      </c>
      <c r="D200" s="654">
        <v>117.6</v>
      </c>
      <c r="E200" s="655">
        <v>113.6</v>
      </c>
      <c r="F200" s="655">
        <v>113.7</v>
      </c>
      <c r="G200" s="655">
        <v>114.2</v>
      </c>
      <c r="H200" s="655">
        <v>113.3</v>
      </c>
      <c r="I200" s="655">
        <v>112.3</v>
      </c>
      <c r="J200" s="655">
        <v>114.8</v>
      </c>
      <c r="K200" s="655">
        <v>113.2</v>
      </c>
      <c r="L200" s="656">
        <v>113.5</v>
      </c>
      <c r="M200" s="612"/>
    </row>
    <row r="201" spans="2:13" ht="18" customHeight="1" x14ac:dyDescent="0.2">
      <c r="B201" s="205" t="s">
        <v>169</v>
      </c>
      <c r="C201" s="501">
        <v>2020</v>
      </c>
      <c r="D201" s="654">
        <v>116.8</v>
      </c>
      <c r="E201" s="655">
        <v>113.1</v>
      </c>
      <c r="F201" s="655">
        <v>113.1</v>
      </c>
      <c r="G201" s="655">
        <v>113.7</v>
      </c>
      <c r="H201" s="655">
        <v>112.8</v>
      </c>
      <c r="I201" s="655">
        <v>111.6</v>
      </c>
      <c r="J201" s="655">
        <v>114</v>
      </c>
      <c r="K201" s="655">
        <v>112.6</v>
      </c>
      <c r="L201" s="656">
        <v>112.9</v>
      </c>
      <c r="M201" s="612"/>
    </row>
    <row r="202" spans="2:13" ht="18" customHeight="1" x14ac:dyDescent="0.2">
      <c r="B202" s="205" t="s">
        <v>170</v>
      </c>
      <c r="C202" s="501">
        <v>2020</v>
      </c>
      <c r="D202" s="654">
        <v>117.5</v>
      </c>
      <c r="E202" s="655">
        <v>113.7</v>
      </c>
      <c r="F202" s="655">
        <v>113.7</v>
      </c>
      <c r="G202" s="655">
        <v>114.1</v>
      </c>
      <c r="H202" s="655">
        <v>113.3</v>
      </c>
      <c r="I202" s="655">
        <v>112.1</v>
      </c>
      <c r="J202" s="655">
        <v>114.6</v>
      </c>
      <c r="K202" s="655">
        <v>113.2</v>
      </c>
      <c r="L202" s="656">
        <v>113.4</v>
      </c>
      <c r="M202" s="612"/>
    </row>
    <row r="203" spans="2:13" ht="18" customHeight="1" x14ac:dyDescent="0.2">
      <c r="B203" s="205" t="s">
        <v>171</v>
      </c>
      <c r="C203" s="501">
        <v>2020</v>
      </c>
      <c r="D203" s="654">
        <v>118.8</v>
      </c>
      <c r="E203" s="655">
        <v>115.3</v>
      </c>
      <c r="F203" s="655">
        <v>115</v>
      </c>
      <c r="G203" s="655">
        <v>115.4</v>
      </c>
      <c r="H203" s="655">
        <v>114.6</v>
      </c>
      <c r="I203" s="655">
        <v>113.7</v>
      </c>
      <c r="J203" s="655">
        <v>116.3</v>
      </c>
      <c r="K203" s="655">
        <v>114.4</v>
      </c>
      <c r="L203" s="656">
        <v>115.2</v>
      </c>
      <c r="M203" s="612"/>
    </row>
    <row r="204" spans="2:13" ht="18" customHeight="1" x14ac:dyDescent="0.2">
      <c r="B204" s="205" t="s">
        <v>172</v>
      </c>
      <c r="C204" s="501">
        <v>2020</v>
      </c>
      <c r="D204" s="654">
        <v>119.1</v>
      </c>
      <c r="E204" s="655">
        <v>115.5</v>
      </c>
      <c r="F204" s="655">
        <v>115.1</v>
      </c>
      <c r="G204" s="655">
        <v>115.5</v>
      </c>
      <c r="H204" s="655">
        <v>114.8</v>
      </c>
      <c r="I204" s="655">
        <v>113.9</v>
      </c>
      <c r="J204" s="655">
        <v>116.5</v>
      </c>
      <c r="K204" s="655">
        <v>114.5</v>
      </c>
      <c r="L204" s="656">
        <v>115.3</v>
      </c>
      <c r="M204" s="612"/>
    </row>
    <row r="205" spans="2:13" ht="18" customHeight="1" x14ac:dyDescent="0.2">
      <c r="B205" s="205" t="s">
        <v>173</v>
      </c>
      <c r="C205" s="501">
        <v>2020</v>
      </c>
      <c r="D205" s="654">
        <v>119.4</v>
      </c>
      <c r="E205" s="655">
        <v>115.7</v>
      </c>
      <c r="F205" s="655">
        <v>115.4</v>
      </c>
      <c r="G205" s="655">
        <v>115.7</v>
      </c>
      <c r="H205" s="655">
        <v>115.1</v>
      </c>
      <c r="I205" s="655">
        <v>114.1</v>
      </c>
      <c r="J205" s="655">
        <v>116.6</v>
      </c>
      <c r="K205" s="655">
        <v>114.6</v>
      </c>
      <c r="L205" s="656">
        <v>115.5</v>
      </c>
      <c r="M205" s="612"/>
    </row>
    <row r="206" spans="2:13" ht="18" customHeight="1" x14ac:dyDescent="0.2">
      <c r="B206" s="205" t="s">
        <v>174</v>
      </c>
      <c r="C206" s="501">
        <v>2020</v>
      </c>
      <c r="D206" s="654">
        <v>119.7</v>
      </c>
      <c r="E206" s="655">
        <v>116.1</v>
      </c>
      <c r="F206" s="655">
        <v>115.8</v>
      </c>
      <c r="G206" s="655">
        <v>116</v>
      </c>
      <c r="H206" s="655">
        <v>115.5</v>
      </c>
      <c r="I206" s="655">
        <v>114.4</v>
      </c>
      <c r="J206" s="655">
        <v>116.9</v>
      </c>
      <c r="K206" s="655">
        <v>115</v>
      </c>
      <c r="L206" s="656">
        <v>115.9</v>
      </c>
      <c r="M206" s="612"/>
    </row>
    <row r="207" spans="2:13" ht="18" customHeight="1" x14ac:dyDescent="0.2">
      <c r="B207" s="205" t="s">
        <v>175</v>
      </c>
      <c r="C207" s="501">
        <v>2020</v>
      </c>
      <c r="D207" s="654">
        <v>119.7</v>
      </c>
      <c r="E207" s="655">
        <v>116.1</v>
      </c>
      <c r="F207" s="655">
        <v>115.9</v>
      </c>
      <c r="G207" s="655">
        <v>116.1</v>
      </c>
      <c r="H207" s="655">
        <v>115.6</v>
      </c>
      <c r="I207" s="655">
        <v>114.5</v>
      </c>
      <c r="J207" s="655">
        <v>116.9</v>
      </c>
      <c r="K207" s="655">
        <v>115.1</v>
      </c>
      <c r="L207" s="656">
        <v>116</v>
      </c>
      <c r="M207" s="612"/>
    </row>
    <row r="208" spans="2:13" ht="18" customHeight="1" thickBot="1" x14ac:dyDescent="0.25">
      <c r="B208" s="205" t="s">
        <v>176</v>
      </c>
      <c r="C208" s="601">
        <v>2020</v>
      </c>
      <c r="D208" s="669">
        <v>120</v>
      </c>
      <c r="E208" s="670">
        <v>116.4</v>
      </c>
      <c r="F208" s="670">
        <v>116.2</v>
      </c>
      <c r="G208" s="670">
        <v>116.4</v>
      </c>
      <c r="H208" s="670">
        <v>115.8</v>
      </c>
      <c r="I208" s="670">
        <v>114.7</v>
      </c>
      <c r="J208" s="670">
        <v>117.1</v>
      </c>
      <c r="K208" s="670">
        <v>115.4</v>
      </c>
      <c r="L208" s="671">
        <v>116.2</v>
      </c>
      <c r="M208" s="612"/>
    </row>
    <row r="209" spans="2:13" ht="18" customHeight="1" x14ac:dyDescent="0.25">
      <c r="B209" s="640"/>
      <c r="C209" s="672"/>
      <c r="D209" s="717"/>
      <c r="E209" s="718"/>
      <c r="F209" s="718"/>
      <c r="G209" s="718"/>
      <c r="H209" s="718"/>
      <c r="I209" s="718"/>
      <c r="J209" s="718"/>
      <c r="K209" s="718"/>
      <c r="L209" s="719"/>
      <c r="M209" s="612"/>
    </row>
    <row r="210" spans="2:13" ht="18" customHeight="1" thickBot="1" x14ac:dyDescent="0.3">
      <c r="B210" s="574"/>
      <c r="C210" s="575"/>
      <c r="D210" s="720"/>
      <c r="E210" s="721"/>
      <c r="F210" s="721"/>
      <c r="G210" s="721"/>
      <c r="H210" s="721"/>
      <c r="I210" s="721"/>
      <c r="J210" s="721"/>
      <c r="K210" s="721"/>
      <c r="L210" s="722"/>
      <c r="M210" s="612"/>
    </row>
    <row r="211" spans="2:13" ht="9.75" customHeight="1" x14ac:dyDescent="0.25">
      <c r="B211" s="456"/>
      <c r="C211" s="456"/>
      <c r="D211" s="666"/>
      <c r="E211" s="666"/>
      <c r="F211" s="666"/>
      <c r="G211" s="666"/>
      <c r="H211" s="666"/>
      <c r="I211" s="666"/>
      <c r="J211" s="666"/>
      <c r="K211" s="666"/>
      <c r="L211" s="666"/>
      <c r="M211" s="612"/>
    </row>
    <row r="212" spans="2:13" ht="17.25" customHeight="1" thickBot="1" x14ac:dyDescent="0.3">
      <c r="B212" s="456"/>
      <c r="C212" s="456"/>
      <c r="D212" s="666"/>
      <c r="E212" s="666"/>
      <c r="F212" s="666"/>
      <c r="G212" s="666"/>
      <c r="H212" s="666"/>
      <c r="I212" s="666"/>
      <c r="J212" s="666"/>
      <c r="K212" s="666"/>
      <c r="L212" s="666"/>
      <c r="M212" s="612"/>
    </row>
    <row r="213" spans="2:13" ht="36" customHeight="1" x14ac:dyDescent="0.25">
      <c r="B213" s="745" t="s">
        <v>189</v>
      </c>
      <c r="C213" s="746"/>
      <c r="D213" s="729" t="s">
        <v>185</v>
      </c>
      <c r="E213" s="730"/>
      <c r="F213" s="730"/>
      <c r="G213" s="730"/>
      <c r="H213" s="730"/>
      <c r="I213" s="730"/>
      <c r="J213" s="730"/>
      <c r="K213" s="730"/>
      <c r="L213" s="731"/>
      <c r="M213" s="612"/>
    </row>
    <row r="214" spans="2:13" ht="18" customHeight="1" thickBot="1" x14ac:dyDescent="0.3">
      <c r="B214" s="747"/>
      <c r="C214" s="748"/>
      <c r="D214" s="732" t="s">
        <v>186</v>
      </c>
      <c r="E214" s="733"/>
      <c r="F214" s="733"/>
      <c r="G214" s="733"/>
      <c r="H214" s="733"/>
      <c r="I214" s="733"/>
      <c r="J214" s="733"/>
      <c r="K214" s="733"/>
      <c r="L214" s="734"/>
      <c r="M214" s="612"/>
    </row>
    <row r="215" spans="2:13" ht="18" customHeight="1" x14ac:dyDescent="0.25">
      <c r="B215" s="735" t="s">
        <v>72</v>
      </c>
      <c r="C215" s="737" t="s">
        <v>73</v>
      </c>
      <c r="D215" s="739" t="s">
        <v>8</v>
      </c>
      <c r="E215" s="741" t="s">
        <v>67</v>
      </c>
      <c r="F215" s="741" t="s">
        <v>9</v>
      </c>
      <c r="G215" s="741" t="s">
        <v>58</v>
      </c>
      <c r="H215" s="741" t="s">
        <v>68</v>
      </c>
      <c r="I215" s="741" t="s">
        <v>24</v>
      </c>
      <c r="J215" s="741" t="s">
        <v>11</v>
      </c>
      <c r="K215" s="741" t="s">
        <v>12</v>
      </c>
      <c r="L215" s="743" t="s">
        <v>13</v>
      </c>
      <c r="M215" s="612"/>
    </row>
    <row r="216" spans="2:13" ht="18" customHeight="1" thickBot="1" x14ac:dyDescent="0.3">
      <c r="B216" s="736"/>
      <c r="C216" s="738"/>
      <c r="D216" s="740"/>
      <c r="E216" s="742"/>
      <c r="F216" s="742"/>
      <c r="G216" s="742"/>
      <c r="H216" s="742"/>
      <c r="I216" s="742"/>
      <c r="J216" s="742"/>
      <c r="K216" s="742"/>
      <c r="L216" s="744"/>
      <c r="M216" s="612"/>
    </row>
    <row r="217" spans="2:13" ht="18" customHeight="1" x14ac:dyDescent="0.25">
      <c r="B217" s="205" t="s">
        <v>165</v>
      </c>
      <c r="C217" s="501">
        <v>2021</v>
      </c>
      <c r="D217" s="649">
        <v>120.4</v>
      </c>
      <c r="E217" s="650">
        <v>116.8</v>
      </c>
      <c r="F217" s="650">
        <v>116.6</v>
      </c>
      <c r="G217" s="650">
        <v>116.8</v>
      </c>
      <c r="H217" s="650">
        <v>116.2</v>
      </c>
      <c r="I217" s="650">
        <v>115.2</v>
      </c>
      <c r="J217" s="650">
        <v>117.5</v>
      </c>
      <c r="K217" s="650">
        <v>115.7</v>
      </c>
      <c r="L217" s="651">
        <v>116.6</v>
      </c>
      <c r="M217" s="612"/>
    </row>
    <row r="218" spans="2:13" ht="18" customHeight="1" x14ac:dyDescent="0.25">
      <c r="B218" s="205" t="s">
        <v>166</v>
      </c>
      <c r="C218" s="501">
        <v>2021</v>
      </c>
      <c r="D218" s="649">
        <v>121.4</v>
      </c>
      <c r="E218" s="650">
        <v>117.6</v>
      </c>
      <c r="F218" s="650">
        <v>117.2</v>
      </c>
      <c r="G218" s="650">
        <v>117.5</v>
      </c>
      <c r="H218" s="650">
        <v>116.9</v>
      </c>
      <c r="I218" s="650">
        <v>116.1</v>
      </c>
      <c r="J218" s="650">
        <v>118.3</v>
      </c>
      <c r="K218" s="650">
        <v>116.5</v>
      </c>
      <c r="L218" s="651">
        <v>117.2</v>
      </c>
      <c r="M218" s="612"/>
    </row>
    <row r="219" spans="2:13" ht="18" customHeight="1" x14ac:dyDescent="0.2">
      <c r="B219" s="205" t="s">
        <v>167</v>
      </c>
      <c r="C219" s="501">
        <v>2021</v>
      </c>
      <c r="D219" s="654">
        <v>122.3</v>
      </c>
      <c r="E219" s="655">
        <v>118.3</v>
      </c>
      <c r="F219" s="655">
        <v>117.9</v>
      </c>
      <c r="G219" s="655">
        <v>118.4</v>
      </c>
      <c r="H219" s="655">
        <v>117.7</v>
      </c>
      <c r="I219" s="655">
        <v>117.1</v>
      </c>
      <c r="J219" s="655">
        <v>119.1</v>
      </c>
      <c r="K219" s="655">
        <v>117.3</v>
      </c>
      <c r="L219" s="656">
        <v>118.2</v>
      </c>
      <c r="M219" s="612"/>
    </row>
    <row r="220" spans="2:13" ht="18" customHeight="1" x14ac:dyDescent="0.2">
      <c r="B220" s="205" t="s">
        <v>168</v>
      </c>
      <c r="C220" s="501">
        <v>2021</v>
      </c>
      <c r="D220" s="654">
        <v>122.9</v>
      </c>
      <c r="E220" s="655">
        <v>119</v>
      </c>
      <c r="F220" s="655">
        <v>118.5</v>
      </c>
      <c r="G220" s="655">
        <v>119.1</v>
      </c>
      <c r="H220" s="655">
        <v>118.4</v>
      </c>
      <c r="I220" s="655">
        <v>117.8</v>
      </c>
      <c r="J220" s="655">
        <v>119.9</v>
      </c>
      <c r="K220" s="655">
        <v>118</v>
      </c>
      <c r="L220" s="656">
        <v>118.9</v>
      </c>
      <c r="M220" s="612"/>
    </row>
    <row r="221" spans="2:13" ht="18" customHeight="1" x14ac:dyDescent="0.2">
      <c r="B221" s="205" t="s">
        <v>169</v>
      </c>
      <c r="C221" s="501">
        <v>2021</v>
      </c>
      <c r="D221" s="690" t="s">
        <v>207</v>
      </c>
      <c r="E221" s="687" t="s">
        <v>208</v>
      </c>
      <c r="F221" s="687" t="s">
        <v>209</v>
      </c>
      <c r="G221" s="687" t="s">
        <v>210</v>
      </c>
      <c r="H221" s="687" t="s">
        <v>211</v>
      </c>
      <c r="I221" s="687" t="s">
        <v>212</v>
      </c>
      <c r="J221" s="691">
        <v>120</v>
      </c>
      <c r="K221" s="687" t="s">
        <v>213</v>
      </c>
      <c r="L221" s="689" t="s">
        <v>208</v>
      </c>
      <c r="M221" s="612"/>
    </row>
    <row r="222" spans="2:13" ht="18" customHeight="1" x14ac:dyDescent="0.2">
      <c r="B222" s="205" t="s">
        <v>170</v>
      </c>
      <c r="C222" s="501">
        <v>2021</v>
      </c>
      <c r="D222" s="692">
        <v>123.4</v>
      </c>
      <c r="E222" s="691">
        <v>119.8</v>
      </c>
      <c r="F222" s="691">
        <v>119.6</v>
      </c>
      <c r="G222" s="691">
        <v>119.8</v>
      </c>
      <c r="H222" s="691">
        <v>118.9</v>
      </c>
      <c r="I222" s="691">
        <v>118.9</v>
      </c>
      <c r="J222" s="691">
        <v>120.1</v>
      </c>
      <c r="K222" s="691">
        <v>118.4</v>
      </c>
      <c r="L222" s="693">
        <v>119.7</v>
      </c>
      <c r="M222" s="612"/>
    </row>
    <row r="223" spans="2:13" ht="18" customHeight="1" x14ac:dyDescent="0.2">
      <c r="B223" s="205" t="s">
        <v>171</v>
      </c>
      <c r="C223" s="501">
        <v>2021</v>
      </c>
      <c r="D223" s="692">
        <v>124.7</v>
      </c>
      <c r="E223" s="691">
        <v>121</v>
      </c>
      <c r="F223" s="691">
        <v>120.7</v>
      </c>
      <c r="G223" s="691">
        <v>120.8</v>
      </c>
      <c r="H223" s="691">
        <v>120.1</v>
      </c>
      <c r="I223" s="691">
        <v>120</v>
      </c>
      <c r="J223" s="691">
        <v>121.5</v>
      </c>
      <c r="K223" s="691">
        <v>119.5</v>
      </c>
      <c r="L223" s="693">
        <v>120.7</v>
      </c>
      <c r="M223" s="612"/>
    </row>
    <row r="224" spans="2:13" ht="18" customHeight="1" x14ac:dyDescent="0.2">
      <c r="B224" s="205" t="s">
        <v>172</v>
      </c>
      <c r="C224" s="501">
        <v>2021</v>
      </c>
      <c r="D224" s="692">
        <v>125.3</v>
      </c>
      <c r="E224" s="691">
        <v>121.4</v>
      </c>
      <c r="F224" s="691">
        <v>121.3</v>
      </c>
      <c r="G224" s="691">
        <v>121.2</v>
      </c>
      <c r="H224" s="691">
        <v>120.6</v>
      </c>
      <c r="I224" s="691">
        <v>120.4</v>
      </c>
      <c r="J224" s="691">
        <v>122.1</v>
      </c>
      <c r="K224" s="691">
        <v>120</v>
      </c>
      <c r="L224" s="693">
        <v>121.2</v>
      </c>
      <c r="M224" s="612"/>
    </row>
    <row r="225" spans="2:14" ht="18" customHeight="1" x14ac:dyDescent="0.2">
      <c r="B225" s="205" t="s">
        <v>173</v>
      </c>
      <c r="C225" s="501">
        <v>2021</v>
      </c>
      <c r="D225" s="692">
        <v>125.5</v>
      </c>
      <c r="E225" s="691">
        <v>121.7</v>
      </c>
      <c r="F225" s="691">
        <v>121.6</v>
      </c>
      <c r="G225" s="691">
        <v>121.4</v>
      </c>
      <c r="H225" s="691">
        <v>120.9</v>
      </c>
      <c r="I225" s="691">
        <v>120.6</v>
      </c>
      <c r="J225" s="691">
        <v>122.3</v>
      </c>
      <c r="K225" s="691">
        <v>120.2</v>
      </c>
      <c r="L225" s="693">
        <v>121.4</v>
      </c>
      <c r="M225" s="612"/>
    </row>
    <row r="226" spans="2:14" ht="18" customHeight="1" x14ac:dyDescent="0.2">
      <c r="B226" s="205" t="s">
        <v>174</v>
      </c>
      <c r="C226" s="501">
        <v>2021</v>
      </c>
      <c r="D226" s="692">
        <v>125.9</v>
      </c>
      <c r="E226" s="691">
        <v>122.2</v>
      </c>
      <c r="F226" s="691">
        <v>122</v>
      </c>
      <c r="G226" s="691">
        <v>121.8</v>
      </c>
      <c r="H226" s="691">
        <v>121.3</v>
      </c>
      <c r="I226" s="691">
        <v>121.1</v>
      </c>
      <c r="J226" s="691">
        <v>122.6</v>
      </c>
      <c r="K226" s="691">
        <v>120.7</v>
      </c>
      <c r="L226" s="693">
        <v>121.8</v>
      </c>
      <c r="M226" s="612"/>
    </row>
    <row r="227" spans="2:14" ht="18" customHeight="1" x14ac:dyDescent="0.2">
      <c r="B227" s="205" t="s">
        <v>175</v>
      </c>
      <c r="C227" s="501">
        <v>2021</v>
      </c>
      <c r="D227" s="692">
        <v>126.5</v>
      </c>
      <c r="E227" s="691">
        <v>122.6</v>
      </c>
      <c r="F227" s="691">
        <v>122.4</v>
      </c>
      <c r="G227" s="691">
        <v>122.2</v>
      </c>
      <c r="H227" s="691">
        <v>121.8</v>
      </c>
      <c r="I227" s="691">
        <v>121.6</v>
      </c>
      <c r="J227" s="691">
        <v>123.3</v>
      </c>
      <c r="K227" s="691">
        <v>121.2</v>
      </c>
      <c r="L227" s="693">
        <v>122.4</v>
      </c>
      <c r="M227" s="612"/>
    </row>
    <row r="228" spans="2:14" ht="18" customHeight="1" thickBot="1" x14ac:dyDescent="0.25">
      <c r="B228" s="205" t="s">
        <v>176</v>
      </c>
      <c r="C228" s="601"/>
      <c r="D228" s="694">
        <v>127.1</v>
      </c>
      <c r="E228" s="695">
        <v>123.1</v>
      </c>
      <c r="F228" s="695">
        <v>123.2</v>
      </c>
      <c r="G228" s="695">
        <v>123</v>
      </c>
      <c r="H228" s="695">
        <v>122.4</v>
      </c>
      <c r="I228" s="695">
        <v>122.2</v>
      </c>
      <c r="J228" s="695">
        <v>124</v>
      </c>
      <c r="K228" s="695">
        <v>122</v>
      </c>
      <c r="L228" s="696">
        <v>123</v>
      </c>
      <c r="M228" s="612"/>
    </row>
    <row r="229" spans="2:14" ht="18" customHeight="1" x14ac:dyDescent="0.25">
      <c r="B229" s="640"/>
      <c r="C229" s="672"/>
      <c r="D229" s="717"/>
      <c r="E229" s="718"/>
      <c r="F229" s="718"/>
      <c r="G229" s="718"/>
      <c r="H229" s="718"/>
      <c r="I229" s="718"/>
      <c r="J229" s="718"/>
      <c r="K229" s="718"/>
      <c r="L229" s="719"/>
      <c r="M229" s="612"/>
    </row>
    <row r="230" spans="2:14" ht="18" customHeight="1" thickBot="1" x14ac:dyDescent="0.3">
      <c r="B230" s="574"/>
      <c r="C230" s="575"/>
      <c r="D230" s="720"/>
      <c r="E230" s="721"/>
      <c r="F230" s="721"/>
      <c r="G230" s="721"/>
      <c r="H230" s="721"/>
      <c r="I230" s="721"/>
      <c r="J230" s="721"/>
      <c r="K230" s="721"/>
      <c r="L230" s="722"/>
    </row>
    <row r="231" spans="2:14" ht="18" customHeight="1" thickBot="1" x14ac:dyDescent="0.3">
      <c r="B231" s="632"/>
    </row>
    <row r="232" spans="2:14" ht="18" customHeight="1" x14ac:dyDescent="0.25">
      <c r="B232" s="725" t="s">
        <v>216</v>
      </c>
      <c r="C232" s="726"/>
      <c r="D232" s="729" t="s">
        <v>185</v>
      </c>
      <c r="E232" s="730"/>
      <c r="F232" s="730"/>
      <c r="G232" s="730"/>
      <c r="H232" s="730"/>
      <c r="I232" s="730"/>
      <c r="J232" s="730"/>
      <c r="K232" s="730"/>
      <c r="L232" s="731"/>
      <c r="N232" s="632"/>
    </row>
    <row r="233" spans="2:14" ht="42" customHeight="1" thickBot="1" x14ac:dyDescent="0.3">
      <c r="B233" s="727"/>
      <c r="C233" s="728"/>
      <c r="D233" s="732" t="s">
        <v>219</v>
      </c>
      <c r="E233" s="733"/>
      <c r="F233" s="733"/>
      <c r="G233" s="733"/>
      <c r="H233" s="733"/>
      <c r="I233" s="733"/>
      <c r="J233" s="733"/>
      <c r="K233" s="733"/>
      <c r="L233" s="734"/>
    </row>
    <row r="234" spans="2:14" ht="18" customHeight="1" x14ac:dyDescent="0.25">
      <c r="B234" s="735" t="s">
        <v>72</v>
      </c>
      <c r="C234" s="737" t="s">
        <v>73</v>
      </c>
      <c r="D234" s="739" t="s">
        <v>8</v>
      </c>
      <c r="E234" s="741" t="s">
        <v>67</v>
      </c>
      <c r="F234" s="741" t="s">
        <v>9</v>
      </c>
      <c r="G234" s="741" t="s">
        <v>58</v>
      </c>
      <c r="H234" s="741" t="s">
        <v>68</v>
      </c>
      <c r="I234" s="741" t="s">
        <v>24</v>
      </c>
      <c r="J234" s="741" t="s">
        <v>11</v>
      </c>
      <c r="K234" s="741" t="s">
        <v>12</v>
      </c>
      <c r="L234" s="743" t="s">
        <v>13</v>
      </c>
    </row>
    <row r="235" spans="2:14" ht="18" customHeight="1" thickBot="1" x14ac:dyDescent="0.3">
      <c r="B235" s="736"/>
      <c r="C235" s="738"/>
      <c r="D235" s="740"/>
      <c r="E235" s="742"/>
      <c r="F235" s="742"/>
      <c r="G235" s="742"/>
      <c r="H235" s="742"/>
      <c r="I235" s="742"/>
      <c r="J235" s="742"/>
      <c r="K235" s="742"/>
      <c r="L235" s="744"/>
    </row>
    <row r="236" spans="2:14" ht="45" customHeight="1" x14ac:dyDescent="0.25">
      <c r="B236" s="723" t="s">
        <v>217</v>
      </c>
      <c r="C236" s="724"/>
      <c r="D236" s="701">
        <v>1.2709999999999999</v>
      </c>
      <c r="E236" s="702">
        <v>1.2309999999999999</v>
      </c>
      <c r="F236" s="702">
        <v>1.232</v>
      </c>
      <c r="G236" s="702">
        <v>1.23</v>
      </c>
      <c r="H236" s="702">
        <v>1.224</v>
      </c>
      <c r="I236" s="702">
        <v>1.222</v>
      </c>
      <c r="J236" s="702">
        <v>1.24</v>
      </c>
      <c r="K236" s="702">
        <v>1.22</v>
      </c>
      <c r="L236" s="703">
        <v>1.23</v>
      </c>
    </row>
    <row r="237" spans="2:14" ht="18" customHeight="1" x14ac:dyDescent="0.25">
      <c r="B237" s="205" t="s">
        <v>165</v>
      </c>
      <c r="C237" s="501">
        <v>2022</v>
      </c>
      <c r="D237" s="704">
        <v>100</v>
      </c>
      <c r="E237" s="705">
        <v>100.4</v>
      </c>
      <c r="F237" s="705">
        <v>100.3</v>
      </c>
      <c r="G237" s="705">
        <v>100.3</v>
      </c>
      <c r="H237" s="705">
        <v>100.2</v>
      </c>
      <c r="I237" s="705">
        <v>100.2</v>
      </c>
      <c r="J237" s="705">
        <v>100.2</v>
      </c>
      <c r="K237" s="705">
        <v>100.3</v>
      </c>
      <c r="L237" s="706">
        <v>100.4</v>
      </c>
    </row>
    <row r="238" spans="2:14" ht="18" customHeight="1" x14ac:dyDescent="0.25">
      <c r="B238" s="205" t="s">
        <v>166</v>
      </c>
      <c r="C238" s="501">
        <v>2022</v>
      </c>
      <c r="D238" s="708">
        <v>100.7</v>
      </c>
      <c r="E238" s="709">
        <v>100.9</v>
      </c>
      <c r="F238" s="709">
        <v>100.9</v>
      </c>
      <c r="G238" s="709">
        <v>100.9</v>
      </c>
      <c r="H238" s="709">
        <v>100.8</v>
      </c>
      <c r="I238" s="709">
        <v>100.8</v>
      </c>
      <c r="J238" s="709">
        <v>100.8</v>
      </c>
      <c r="K238" s="709">
        <v>100.9</v>
      </c>
      <c r="L238" s="710">
        <v>101</v>
      </c>
    </row>
    <row r="239" spans="2:14" ht="18" customHeight="1" x14ac:dyDescent="0.25">
      <c r="B239" s="205" t="s">
        <v>167</v>
      </c>
      <c r="C239" s="501">
        <v>2022</v>
      </c>
      <c r="D239" s="708">
        <v>101.6</v>
      </c>
      <c r="E239" s="709">
        <v>102.1</v>
      </c>
      <c r="F239" s="709">
        <v>101.7</v>
      </c>
      <c r="G239" s="709">
        <v>101.9</v>
      </c>
      <c r="H239" s="709">
        <v>101.9</v>
      </c>
      <c r="I239" s="709">
        <v>101.9</v>
      </c>
      <c r="J239" s="709">
        <v>101.9</v>
      </c>
      <c r="K239" s="709">
        <v>102</v>
      </c>
      <c r="L239" s="710">
        <v>102.4</v>
      </c>
    </row>
    <row r="240" spans="2:14" ht="18" customHeight="1" x14ac:dyDescent="0.2">
      <c r="B240" s="205" t="s">
        <v>168</v>
      </c>
      <c r="C240" s="501">
        <v>2022</v>
      </c>
      <c r="D240" s="711">
        <v>102.2</v>
      </c>
      <c r="E240" s="712">
        <v>102.7</v>
      </c>
      <c r="F240" s="712">
        <v>102.3</v>
      </c>
      <c r="G240" s="712">
        <v>102.5</v>
      </c>
      <c r="H240" s="712">
        <v>102.5</v>
      </c>
      <c r="I240" s="712">
        <v>102.4</v>
      </c>
      <c r="J240" s="712">
        <v>102.4</v>
      </c>
      <c r="K240" s="712">
        <v>102.5</v>
      </c>
      <c r="L240" s="713">
        <v>103</v>
      </c>
    </row>
    <row r="241" spans="2:12" ht="18" customHeight="1" x14ac:dyDescent="0.2">
      <c r="B241" s="205" t="s">
        <v>169</v>
      </c>
      <c r="C241" s="501">
        <v>2022</v>
      </c>
      <c r="D241" s="714">
        <v>102.8</v>
      </c>
      <c r="E241" s="715">
        <v>103.4</v>
      </c>
      <c r="F241" s="715">
        <v>103</v>
      </c>
      <c r="G241" s="715">
        <v>103.2</v>
      </c>
      <c r="H241" s="715">
        <v>103.3</v>
      </c>
      <c r="I241" s="715">
        <v>103.2</v>
      </c>
      <c r="J241" s="712">
        <v>103.1</v>
      </c>
      <c r="K241" s="715">
        <v>103.3</v>
      </c>
      <c r="L241" s="716">
        <v>103.9</v>
      </c>
    </row>
    <row r="242" spans="2:12" ht="18" customHeight="1" x14ac:dyDescent="0.2">
      <c r="B242" s="205" t="s">
        <v>170</v>
      </c>
      <c r="C242" s="501">
        <v>2022</v>
      </c>
      <c r="D242" s="711">
        <v>104</v>
      </c>
      <c r="E242" s="712">
        <v>104.7</v>
      </c>
      <c r="F242" s="712">
        <v>104.5</v>
      </c>
      <c r="G242" s="712">
        <v>104</v>
      </c>
      <c r="H242" s="712">
        <v>104.5</v>
      </c>
      <c r="I242" s="712">
        <v>104.4</v>
      </c>
      <c r="J242" s="712">
        <v>104.2</v>
      </c>
      <c r="K242" s="712">
        <v>104.7</v>
      </c>
      <c r="L242" s="713">
        <v>104.9</v>
      </c>
    </row>
    <row r="243" spans="2:12" ht="18" customHeight="1" x14ac:dyDescent="0.2">
      <c r="B243" s="205" t="s">
        <v>171</v>
      </c>
      <c r="C243" s="501">
        <v>2022</v>
      </c>
      <c r="D243" s="711">
        <v>105.6</v>
      </c>
      <c r="E243" s="712">
        <v>107</v>
      </c>
      <c r="F243" s="712">
        <v>106.3</v>
      </c>
      <c r="G243" s="712">
        <v>106.4</v>
      </c>
      <c r="H243" s="712">
        <v>106</v>
      </c>
      <c r="I243" s="712">
        <v>105.5</v>
      </c>
      <c r="J243" s="712">
        <v>105.8</v>
      </c>
      <c r="K243" s="712">
        <v>105.8</v>
      </c>
      <c r="L243" s="713">
        <v>106.8</v>
      </c>
    </row>
    <row r="244" spans="2:12" ht="18" customHeight="1" x14ac:dyDescent="0.2">
      <c r="B244" s="205" t="s">
        <v>172</v>
      </c>
      <c r="C244" s="501">
        <v>2022</v>
      </c>
      <c r="D244" s="692"/>
      <c r="E244" s="691"/>
      <c r="F244" s="691"/>
      <c r="G244" s="691"/>
      <c r="H244" s="691"/>
      <c r="I244" s="691"/>
      <c r="J244" s="691"/>
      <c r="K244" s="691"/>
      <c r="L244" s="693"/>
    </row>
    <row r="245" spans="2:12" ht="18" customHeight="1" x14ac:dyDescent="0.2">
      <c r="B245" s="205" t="s">
        <v>173</v>
      </c>
      <c r="C245" s="501">
        <v>2022</v>
      </c>
      <c r="D245" s="692"/>
      <c r="E245" s="691"/>
      <c r="F245" s="691"/>
      <c r="G245" s="691"/>
      <c r="H245" s="691"/>
      <c r="I245" s="691"/>
      <c r="J245" s="691"/>
      <c r="K245" s="691"/>
      <c r="L245" s="693"/>
    </row>
    <row r="246" spans="2:12" ht="18" customHeight="1" x14ac:dyDescent="0.2">
      <c r="B246" s="205" t="s">
        <v>174</v>
      </c>
      <c r="C246" s="501">
        <v>2022</v>
      </c>
      <c r="D246" s="692"/>
      <c r="E246" s="691"/>
      <c r="F246" s="691"/>
      <c r="G246" s="691"/>
      <c r="H246" s="691"/>
      <c r="I246" s="691"/>
      <c r="J246" s="691"/>
      <c r="K246" s="691"/>
      <c r="L246" s="693"/>
    </row>
    <row r="247" spans="2:12" ht="18" customHeight="1" x14ac:dyDescent="0.2">
      <c r="B247" s="205" t="s">
        <v>175</v>
      </c>
      <c r="C247" s="501">
        <v>2022</v>
      </c>
      <c r="D247" s="692"/>
      <c r="E247" s="691"/>
      <c r="F247" s="691"/>
      <c r="G247" s="691"/>
      <c r="H247" s="691"/>
      <c r="I247" s="691"/>
      <c r="J247" s="691"/>
      <c r="K247" s="691"/>
      <c r="L247" s="693"/>
    </row>
    <row r="248" spans="2:12" ht="18" customHeight="1" thickBot="1" x14ac:dyDescent="0.25">
      <c r="B248" s="205" t="s">
        <v>176</v>
      </c>
      <c r="C248" s="601"/>
      <c r="D248" s="694"/>
      <c r="E248" s="695"/>
      <c r="F248" s="695"/>
      <c r="G248" s="695"/>
      <c r="H248" s="695"/>
      <c r="I248" s="695"/>
      <c r="J248" s="695"/>
      <c r="K248" s="695"/>
      <c r="L248" s="696"/>
    </row>
    <row r="249" spans="2:12" ht="18" customHeight="1" x14ac:dyDescent="0.25">
      <c r="B249" s="640"/>
      <c r="C249" s="672"/>
      <c r="D249" s="717"/>
      <c r="E249" s="718"/>
      <c r="F249" s="718"/>
      <c r="G249" s="718"/>
      <c r="H249" s="718"/>
      <c r="I249" s="718"/>
      <c r="J249" s="718"/>
      <c r="K249" s="718"/>
      <c r="L249" s="719"/>
    </row>
    <row r="250" spans="2:12" ht="18" customHeight="1" thickBot="1" x14ac:dyDescent="0.3">
      <c r="B250" s="574"/>
      <c r="C250" s="575"/>
      <c r="D250" s="720"/>
      <c r="E250" s="721"/>
      <c r="F250" s="721"/>
      <c r="G250" s="721"/>
      <c r="H250" s="721"/>
      <c r="I250" s="721"/>
      <c r="J250" s="721"/>
      <c r="K250" s="721"/>
      <c r="L250" s="722"/>
    </row>
    <row r="254" spans="2:12" ht="18" customHeight="1" x14ac:dyDescent="0.25">
      <c r="B254" s="632" t="s">
        <v>155</v>
      </c>
    </row>
  </sheetData>
  <mergeCells count="116">
    <mergeCell ref="D209:L209"/>
    <mergeCell ref="D210:L210"/>
    <mergeCell ref="B193:C194"/>
    <mergeCell ref="D193:L193"/>
    <mergeCell ref="D194:L194"/>
    <mergeCell ref="B195:B196"/>
    <mergeCell ref="C195:C196"/>
    <mergeCell ref="D195:D196"/>
    <mergeCell ref="E195:E196"/>
    <mergeCell ref="F195:F196"/>
    <mergeCell ref="G195:G196"/>
    <mergeCell ref="H195:H196"/>
    <mergeCell ref="I195:I196"/>
    <mergeCell ref="J195:J196"/>
    <mergeCell ref="K195:K196"/>
    <mergeCell ref="L195:L196"/>
    <mergeCell ref="D167:L167"/>
    <mergeCell ref="D168:L168"/>
    <mergeCell ref="B150:C151"/>
    <mergeCell ref="D150:L150"/>
    <mergeCell ref="D151:L151"/>
    <mergeCell ref="B152:B153"/>
    <mergeCell ref="C152:C153"/>
    <mergeCell ref="D152:D153"/>
    <mergeCell ref="E152:E153"/>
    <mergeCell ref="F152:F153"/>
    <mergeCell ref="G152:G153"/>
    <mergeCell ref="H152:H153"/>
    <mergeCell ref="I152:I153"/>
    <mergeCell ref="J152:J153"/>
    <mergeCell ref="K152:K153"/>
    <mergeCell ref="L152:L153"/>
    <mergeCell ref="D138:L138"/>
    <mergeCell ref="N138:W138"/>
    <mergeCell ref="D139:L139"/>
    <mergeCell ref="N139:W139"/>
    <mergeCell ref="U14:U15"/>
    <mergeCell ref="V14:W14"/>
    <mergeCell ref="N14:N15"/>
    <mergeCell ref="O14:O15"/>
    <mergeCell ref="P14:P15"/>
    <mergeCell ref="Q14:Q15"/>
    <mergeCell ref="R14:R15"/>
    <mergeCell ref="T14:T15"/>
    <mergeCell ref="G14:G15"/>
    <mergeCell ref="H14:H15"/>
    <mergeCell ref="I14:I15"/>
    <mergeCell ref="J14:J15"/>
    <mergeCell ref="Z125:AA126"/>
    <mergeCell ref="K14:K15"/>
    <mergeCell ref="L14:L15"/>
    <mergeCell ref="T4:W5"/>
    <mergeCell ref="H4:L5"/>
    <mergeCell ref="B7:C7"/>
    <mergeCell ref="B13:C13"/>
    <mergeCell ref="O13:W13"/>
    <mergeCell ref="B14:B15"/>
    <mergeCell ref="C14:C15"/>
    <mergeCell ref="D14:D15"/>
    <mergeCell ref="E14:E15"/>
    <mergeCell ref="F14:F15"/>
    <mergeCell ref="B9:B11"/>
    <mergeCell ref="B124:C125"/>
    <mergeCell ref="D124:L124"/>
    <mergeCell ref="N124:W124"/>
    <mergeCell ref="D125:L125"/>
    <mergeCell ref="N125:W125"/>
    <mergeCell ref="D188:L188"/>
    <mergeCell ref="D189:L189"/>
    <mergeCell ref="B172:C173"/>
    <mergeCell ref="D172:L172"/>
    <mergeCell ref="D173:L173"/>
    <mergeCell ref="B174:B175"/>
    <mergeCell ref="C174:C175"/>
    <mergeCell ref="D174:D175"/>
    <mergeCell ref="E174:E175"/>
    <mergeCell ref="F174:F175"/>
    <mergeCell ref="G174:G175"/>
    <mergeCell ref="H174:H175"/>
    <mergeCell ref="I174:I175"/>
    <mergeCell ref="J174:J175"/>
    <mergeCell ref="K174:K175"/>
    <mergeCell ref="L174:L175"/>
    <mergeCell ref="D229:L229"/>
    <mergeCell ref="D230:L230"/>
    <mergeCell ref="B213:C214"/>
    <mergeCell ref="D213:L213"/>
    <mergeCell ref="D214:L214"/>
    <mergeCell ref="B215:B216"/>
    <mergeCell ref="C215:C216"/>
    <mergeCell ref="D215:D216"/>
    <mergeCell ref="E215:E216"/>
    <mergeCell ref="F215:F216"/>
    <mergeCell ref="G215:G216"/>
    <mergeCell ref="H215:H216"/>
    <mergeCell ref="I215:I216"/>
    <mergeCell ref="J215:J216"/>
    <mergeCell ref="K215:K216"/>
    <mergeCell ref="L215:L216"/>
    <mergeCell ref="D249:L249"/>
    <mergeCell ref="D250:L250"/>
    <mergeCell ref="B236:C236"/>
    <mergeCell ref="B232:C233"/>
    <mergeCell ref="D232:L232"/>
    <mergeCell ref="D233:L233"/>
    <mergeCell ref="B234:B235"/>
    <mergeCell ref="C234:C235"/>
    <mergeCell ref="D234:D235"/>
    <mergeCell ref="E234:E235"/>
    <mergeCell ref="F234:F235"/>
    <mergeCell ref="G234:G235"/>
    <mergeCell ref="H234:H235"/>
    <mergeCell ref="I234:I235"/>
    <mergeCell ref="J234:J235"/>
    <mergeCell ref="K234:K235"/>
    <mergeCell ref="L234:L235"/>
  </mergeCells>
  <hyperlinks>
    <hyperlink ref="B254" location="'Plant, Material &amp; Fuel 2018'!A1" display="Refer Plant &amp; Material 2018" xr:uid="{A04A63D8-5717-4675-BE2A-902D4A0BEE89}"/>
  </hyperlink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88"/>
  <sheetViews>
    <sheetView topLeftCell="H75" workbookViewId="0">
      <selection activeCell="R83" sqref="R83"/>
    </sheetView>
  </sheetViews>
  <sheetFormatPr defaultRowHeight="15" x14ac:dyDescent="0.25"/>
  <cols>
    <col min="1" max="1" width="3.85546875" customWidth="1"/>
    <col min="2" max="2" width="9.7109375" customWidth="1"/>
    <col min="3" max="3" width="12.28515625" customWidth="1"/>
    <col min="4" max="4" width="10.5703125" customWidth="1"/>
    <col min="5" max="5" width="10.7109375" customWidth="1"/>
    <col min="6" max="10" width="11.7109375" customWidth="1"/>
    <col min="11" max="11" width="13.28515625" customWidth="1"/>
    <col min="12" max="12" width="13" customWidth="1"/>
    <col min="13" max="15" width="11.7109375" customWidth="1"/>
    <col min="16" max="16" width="15.5703125" customWidth="1"/>
    <col min="17" max="17" width="18.42578125" customWidth="1"/>
    <col min="18" max="18" width="18.140625" customWidth="1"/>
  </cols>
  <sheetData>
    <row r="1" spans="1:17" ht="42.75" customHeight="1" x14ac:dyDescent="0.25">
      <c r="C1" s="799" t="s">
        <v>184</v>
      </c>
      <c r="D1" s="772"/>
      <c r="E1" s="772"/>
      <c r="F1" s="772"/>
      <c r="G1" s="772"/>
      <c r="H1" s="772"/>
      <c r="I1" s="772"/>
      <c r="J1" s="772"/>
      <c r="K1" s="772"/>
      <c r="L1" s="772"/>
      <c r="M1" s="772"/>
      <c r="N1" s="772"/>
      <c r="O1" s="772"/>
      <c r="P1" s="772"/>
      <c r="Q1" s="772"/>
    </row>
    <row r="2" spans="1:17" ht="26.25" thickBot="1" x14ac:dyDescent="0.3">
      <c r="C2" s="639" t="s">
        <v>183</v>
      </c>
      <c r="D2" s="800" t="s">
        <v>180</v>
      </c>
      <c r="E2" s="801"/>
      <c r="F2" s="801"/>
      <c r="G2" s="801"/>
      <c r="H2" s="801"/>
      <c r="I2" s="801"/>
      <c r="J2" s="801"/>
      <c r="K2" s="801"/>
      <c r="L2" s="801"/>
      <c r="M2" s="801"/>
      <c r="N2" s="801"/>
      <c r="O2" s="801"/>
      <c r="P2" s="801"/>
      <c r="Q2" s="638" t="s">
        <v>181</v>
      </c>
    </row>
    <row r="3" spans="1:17" ht="111.75" customHeight="1" x14ac:dyDescent="0.25">
      <c r="A3" s="745" t="s">
        <v>150</v>
      </c>
      <c r="B3" s="746"/>
      <c r="C3" s="633" t="s">
        <v>157</v>
      </c>
      <c r="D3" s="599" t="s">
        <v>151</v>
      </c>
      <c r="E3" s="600" t="s">
        <v>156</v>
      </c>
      <c r="F3" s="600" t="s">
        <v>152</v>
      </c>
      <c r="G3" s="600" t="s">
        <v>153</v>
      </c>
      <c r="H3" s="600" t="s">
        <v>158</v>
      </c>
      <c r="I3" s="600" t="s">
        <v>159</v>
      </c>
      <c r="J3" s="600" t="s">
        <v>160</v>
      </c>
      <c r="K3" s="600" t="s">
        <v>161</v>
      </c>
      <c r="L3" s="600" t="s">
        <v>162</v>
      </c>
      <c r="M3" s="600" t="s">
        <v>163</v>
      </c>
      <c r="N3" s="600" t="s">
        <v>164</v>
      </c>
      <c r="O3" s="600" t="s">
        <v>177</v>
      </c>
      <c r="P3" s="600" t="s">
        <v>178</v>
      </c>
      <c r="Q3" s="637" t="s">
        <v>179</v>
      </c>
    </row>
    <row r="4" spans="1:17" ht="16.5" hidden="1" customHeight="1" thickBot="1" x14ac:dyDescent="0.3">
      <c r="A4" s="747"/>
      <c r="B4" s="748"/>
      <c r="C4" s="606">
        <v>111.5</v>
      </c>
      <c r="D4" s="606">
        <v>111.5</v>
      </c>
      <c r="E4" s="607">
        <v>110.3</v>
      </c>
      <c r="F4" s="608">
        <v>112</v>
      </c>
      <c r="G4" s="608">
        <v>112</v>
      </c>
      <c r="H4" s="608">
        <v>112</v>
      </c>
      <c r="I4" s="608">
        <v>112</v>
      </c>
      <c r="J4" s="608">
        <v>112</v>
      </c>
      <c r="K4" s="608">
        <v>112</v>
      </c>
      <c r="L4" s="608">
        <v>112</v>
      </c>
      <c r="M4" s="608">
        <v>112</v>
      </c>
      <c r="N4" s="608">
        <v>112</v>
      </c>
      <c r="O4" s="608">
        <v>112</v>
      </c>
      <c r="P4" s="608">
        <v>112</v>
      </c>
      <c r="Q4" s="607">
        <v>109.6</v>
      </c>
    </row>
    <row r="5" spans="1:17" ht="16.5" customHeight="1" x14ac:dyDescent="0.25">
      <c r="A5" s="635">
        <v>2017</v>
      </c>
      <c r="B5" s="636" t="s">
        <v>176</v>
      </c>
      <c r="C5" s="643">
        <v>101</v>
      </c>
      <c r="D5" s="644">
        <v>111.5</v>
      </c>
      <c r="E5" s="645">
        <v>110.3</v>
      </c>
      <c r="F5" s="643">
        <v>112</v>
      </c>
      <c r="G5" s="643">
        <v>109.6</v>
      </c>
      <c r="H5" s="643">
        <v>113.6</v>
      </c>
      <c r="I5" s="643">
        <v>118</v>
      </c>
      <c r="J5" s="643">
        <v>118.2</v>
      </c>
      <c r="K5" s="643">
        <v>118.2</v>
      </c>
      <c r="L5" s="643">
        <v>119.1</v>
      </c>
      <c r="M5" s="643">
        <v>116.8</v>
      </c>
      <c r="N5" s="643">
        <v>116.8</v>
      </c>
      <c r="O5" s="643">
        <v>113.3</v>
      </c>
      <c r="P5" s="643">
        <v>113.8</v>
      </c>
      <c r="Q5" s="644">
        <v>117.8</v>
      </c>
    </row>
    <row r="6" spans="1:17" ht="15.75" x14ac:dyDescent="0.25">
      <c r="B6" s="634" t="s">
        <v>165</v>
      </c>
      <c r="C6" s="602">
        <v>101.5</v>
      </c>
      <c r="D6" s="602">
        <v>112.8</v>
      </c>
      <c r="E6" s="610">
        <v>113</v>
      </c>
      <c r="F6" s="611">
        <v>113.8</v>
      </c>
      <c r="G6" s="611">
        <v>112.9</v>
      </c>
      <c r="H6" s="611">
        <v>117.1</v>
      </c>
      <c r="I6" s="611">
        <v>122</v>
      </c>
      <c r="J6" s="611">
        <v>124.3</v>
      </c>
      <c r="K6" s="611">
        <v>121.4</v>
      </c>
      <c r="L6" s="611">
        <v>125.8</v>
      </c>
      <c r="M6" s="611">
        <v>115.8</v>
      </c>
      <c r="N6" s="611">
        <v>122.6</v>
      </c>
      <c r="O6" s="611">
        <v>117.7</v>
      </c>
      <c r="P6" s="611">
        <v>119</v>
      </c>
      <c r="Q6" s="602">
        <v>115.6</v>
      </c>
    </row>
    <row r="7" spans="1:17" ht="15.75" x14ac:dyDescent="0.25">
      <c r="B7" s="634" t="s">
        <v>166</v>
      </c>
      <c r="C7" s="652">
        <v>102</v>
      </c>
      <c r="D7" s="652">
        <v>111.2</v>
      </c>
      <c r="E7" s="653">
        <v>110.6</v>
      </c>
      <c r="F7" s="652">
        <v>112.1</v>
      </c>
      <c r="G7" s="652">
        <v>110.5</v>
      </c>
      <c r="H7" s="652">
        <v>114</v>
      </c>
      <c r="I7" s="652">
        <v>118.9</v>
      </c>
      <c r="J7" s="652">
        <v>120</v>
      </c>
      <c r="K7" s="652">
        <v>118.5</v>
      </c>
      <c r="L7" s="652">
        <v>121</v>
      </c>
      <c r="M7" s="652">
        <v>114.7</v>
      </c>
      <c r="N7" s="652">
        <v>118.5</v>
      </c>
      <c r="O7" s="652">
        <v>114.8</v>
      </c>
      <c r="P7" s="652">
        <v>115.6</v>
      </c>
      <c r="Q7" s="652">
        <v>114</v>
      </c>
    </row>
    <row r="8" spans="1:17" ht="15.75" x14ac:dyDescent="0.25">
      <c r="B8" s="634" t="s">
        <v>167</v>
      </c>
      <c r="C8" s="650">
        <v>101.5</v>
      </c>
      <c r="D8" s="650">
        <v>111.3</v>
      </c>
      <c r="E8" s="657">
        <v>112.1</v>
      </c>
      <c r="F8" s="652">
        <v>112.1</v>
      </c>
      <c r="G8" s="652">
        <v>112.3</v>
      </c>
      <c r="H8" s="652">
        <v>115.3</v>
      </c>
      <c r="I8" s="652">
        <v>118.6</v>
      </c>
      <c r="J8" s="652">
        <v>121</v>
      </c>
      <c r="K8" s="652">
        <v>117.7</v>
      </c>
      <c r="L8" s="652">
        <v>122.3</v>
      </c>
      <c r="M8" s="652">
        <v>111.8</v>
      </c>
      <c r="N8" s="652">
        <v>120.1</v>
      </c>
      <c r="O8" s="652">
        <v>115.6</v>
      </c>
      <c r="P8" s="652">
        <v>116.8</v>
      </c>
      <c r="Q8" s="655">
        <v>109.9</v>
      </c>
    </row>
    <row r="9" spans="1:17" ht="15.75" x14ac:dyDescent="0.25">
      <c r="B9" s="634" t="s">
        <v>168</v>
      </c>
      <c r="C9" s="655">
        <v>101.5</v>
      </c>
      <c r="D9" s="655">
        <v>111.4</v>
      </c>
      <c r="E9" s="657">
        <v>112.5</v>
      </c>
      <c r="F9" s="665">
        <v>111.8</v>
      </c>
      <c r="G9" s="665">
        <v>112.7</v>
      </c>
      <c r="H9" s="665">
        <v>115.6</v>
      </c>
      <c r="I9" s="665">
        <v>118.2</v>
      </c>
      <c r="J9" s="665">
        <v>120.8</v>
      </c>
      <c r="K9" s="665">
        <v>117.2</v>
      </c>
      <c r="L9" s="665">
        <v>122.2</v>
      </c>
      <c r="M9" s="665">
        <v>111.4</v>
      </c>
      <c r="N9" s="665">
        <v>119.7</v>
      </c>
      <c r="O9" s="665">
        <v>115.2</v>
      </c>
      <c r="P9" s="665">
        <v>116.4</v>
      </c>
      <c r="Q9" s="655">
        <v>115.4</v>
      </c>
    </row>
    <row r="10" spans="1:17" ht="15.75" x14ac:dyDescent="0.25">
      <c r="B10" s="634" t="s">
        <v>169</v>
      </c>
      <c r="C10" s="655">
        <v>101.6</v>
      </c>
      <c r="D10" s="655">
        <v>112.3</v>
      </c>
      <c r="E10" s="657">
        <v>112.8</v>
      </c>
      <c r="F10" s="665">
        <v>112.9</v>
      </c>
      <c r="G10" s="665">
        <v>112.9</v>
      </c>
      <c r="H10" s="665">
        <v>116.1</v>
      </c>
      <c r="I10" s="665">
        <v>119.8</v>
      </c>
      <c r="J10" s="665">
        <v>121.9</v>
      </c>
      <c r="K10" s="665">
        <v>119.2</v>
      </c>
      <c r="L10" s="665">
        <v>123.5</v>
      </c>
      <c r="M10" s="665">
        <v>114.1</v>
      </c>
      <c r="N10" s="665">
        <v>120.9</v>
      </c>
      <c r="O10" s="665">
        <v>116.1</v>
      </c>
      <c r="P10" s="665">
        <v>117.2</v>
      </c>
      <c r="Q10" s="655">
        <v>121.5</v>
      </c>
    </row>
    <row r="11" spans="1:17" ht="15.75" x14ac:dyDescent="0.25">
      <c r="B11" s="634" t="s">
        <v>170</v>
      </c>
      <c r="C11" s="655">
        <v>101.7</v>
      </c>
      <c r="D11" s="655">
        <v>114</v>
      </c>
      <c r="E11" s="657">
        <v>112.8</v>
      </c>
      <c r="F11" s="665">
        <v>114.8</v>
      </c>
      <c r="G11" s="665">
        <v>112.7</v>
      </c>
      <c r="H11" s="665">
        <v>116.2</v>
      </c>
      <c r="I11" s="665">
        <v>121</v>
      </c>
      <c r="J11" s="665">
        <v>121.4</v>
      </c>
      <c r="K11" s="665">
        <v>121.3</v>
      </c>
      <c r="L11" s="665">
        <v>122.6</v>
      </c>
      <c r="M11" s="665">
        <v>119.3</v>
      </c>
      <c r="N11" s="665">
        <v>120.3</v>
      </c>
      <c r="O11" s="665">
        <v>116.2</v>
      </c>
      <c r="P11" s="665">
        <v>116.7</v>
      </c>
      <c r="Q11" s="655">
        <v>128.80000000000001</v>
      </c>
    </row>
    <row r="12" spans="1:17" ht="15.75" x14ac:dyDescent="0.25">
      <c r="B12" s="634" t="s">
        <v>171</v>
      </c>
      <c r="C12" s="655">
        <v>101.8</v>
      </c>
      <c r="D12" s="655">
        <v>116.9</v>
      </c>
      <c r="E12" s="657">
        <v>114.6</v>
      </c>
      <c r="F12" s="665">
        <v>117.6</v>
      </c>
      <c r="G12" s="665">
        <v>114.1</v>
      </c>
      <c r="H12" s="665">
        <v>118.8</v>
      </c>
      <c r="I12" s="665">
        <v>124.6</v>
      </c>
      <c r="J12" s="665">
        <v>124.1</v>
      </c>
      <c r="K12" s="665">
        <v>125.2</v>
      </c>
      <c r="L12" s="665">
        <v>125.1</v>
      </c>
      <c r="M12" s="665">
        <v>124.5</v>
      </c>
      <c r="N12" s="665">
        <v>122.1</v>
      </c>
      <c r="O12" s="665">
        <v>118.7</v>
      </c>
      <c r="P12" s="665">
        <v>118.9</v>
      </c>
      <c r="Q12" s="655">
        <v>130.9</v>
      </c>
    </row>
    <row r="13" spans="1:17" ht="15.75" x14ac:dyDescent="0.25">
      <c r="B13" s="634" t="s">
        <v>172</v>
      </c>
      <c r="C13" s="655">
        <v>103.2</v>
      </c>
      <c r="D13" s="655">
        <v>116.5</v>
      </c>
      <c r="E13" s="657">
        <v>115</v>
      </c>
      <c r="F13" s="665">
        <v>116.7</v>
      </c>
      <c r="G13" s="665">
        <v>114.6</v>
      </c>
      <c r="H13" s="665">
        <v>119</v>
      </c>
      <c r="I13" s="665">
        <v>123.6</v>
      </c>
      <c r="J13" s="665">
        <v>123.8</v>
      </c>
      <c r="K13" s="665">
        <v>124</v>
      </c>
      <c r="L13" s="665">
        <v>125</v>
      </c>
      <c r="M13" s="665">
        <v>122.5</v>
      </c>
      <c r="N13" s="665">
        <v>122.4</v>
      </c>
      <c r="O13" s="665">
        <v>118.5</v>
      </c>
      <c r="P13" s="665">
        <v>119</v>
      </c>
      <c r="Q13" s="655">
        <v>130.5</v>
      </c>
    </row>
    <row r="14" spans="1:17" ht="15.75" x14ac:dyDescent="0.25">
      <c r="B14" s="634" t="s">
        <v>173</v>
      </c>
      <c r="C14" s="655">
        <v>103.6</v>
      </c>
      <c r="D14" s="655">
        <v>117.8</v>
      </c>
      <c r="E14" s="657">
        <v>116.5</v>
      </c>
      <c r="F14" s="665">
        <v>117.1</v>
      </c>
      <c r="G14" s="665">
        <v>115.5</v>
      </c>
      <c r="H14" s="665">
        <v>121</v>
      </c>
      <c r="I14" s="665">
        <v>125</v>
      </c>
      <c r="J14" s="665">
        <v>125.3</v>
      </c>
      <c r="K14" s="665">
        <v>124.9</v>
      </c>
      <c r="L14" s="665">
        <v>125.9</v>
      </c>
      <c r="M14" s="665">
        <v>123.2</v>
      </c>
      <c r="N14" s="665">
        <v>123</v>
      </c>
      <c r="O14" s="665">
        <v>120.2</v>
      </c>
      <c r="P14" s="665">
        <v>120.6</v>
      </c>
      <c r="Q14" s="655">
        <v>130.5</v>
      </c>
    </row>
    <row r="15" spans="1:17" ht="15.75" x14ac:dyDescent="0.25">
      <c r="B15" s="634" t="s">
        <v>174</v>
      </c>
      <c r="C15" s="655">
        <v>103.4</v>
      </c>
      <c r="D15" s="655">
        <v>121.1</v>
      </c>
      <c r="E15" s="657">
        <v>119</v>
      </c>
      <c r="F15" s="665">
        <v>119.7</v>
      </c>
      <c r="G15" s="665">
        <v>117.1</v>
      </c>
      <c r="H15" s="665">
        <v>124.2</v>
      </c>
      <c r="I15" s="665">
        <v>128.4</v>
      </c>
      <c r="J15" s="665">
        <v>127.8</v>
      </c>
      <c r="K15" s="665">
        <v>128.5</v>
      </c>
      <c r="L15" s="665">
        <v>128</v>
      </c>
      <c r="M15" s="665">
        <v>128.6</v>
      </c>
      <c r="N15" s="665">
        <v>125.1</v>
      </c>
      <c r="O15" s="665">
        <v>122.6</v>
      </c>
      <c r="P15" s="665">
        <v>122.8</v>
      </c>
      <c r="Q15" s="655">
        <v>141.9</v>
      </c>
    </row>
    <row r="16" spans="1:17" ht="15.75" x14ac:dyDescent="0.25">
      <c r="B16" s="634" t="s">
        <v>175</v>
      </c>
      <c r="C16" s="655">
        <v>103.6</v>
      </c>
      <c r="D16" s="655">
        <v>122.3</v>
      </c>
      <c r="E16" s="657">
        <v>119.4</v>
      </c>
      <c r="F16" s="665">
        <v>121.4</v>
      </c>
      <c r="G16" s="665">
        <v>117.5</v>
      </c>
      <c r="H16" s="665">
        <v>124.7</v>
      </c>
      <c r="I16" s="665">
        <v>130</v>
      </c>
      <c r="J16" s="665">
        <v>128.80000000000001</v>
      </c>
      <c r="K16" s="665">
        <v>130.6</v>
      </c>
      <c r="L16" s="665">
        <v>129</v>
      </c>
      <c r="M16" s="665">
        <v>131.80000000000001</v>
      </c>
      <c r="N16" s="665">
        <v>126.1</v>
      </c>
      <c r="O16" s="665">
        <v>123.6</v>
      </c>
      <c r="P16" s="665">
        <v>123.5</v>
      </c>
      <c r="Q16" s="655">
        <v>146.5</v>
      </c>
    </row>
    <row r="17" spans="1:17" ht="15.75" x14ac:dyDescent="0.25">
      <c r="B17" s="634" t="s">
        <v>176</v>
      </c>
      <c r="C17" s="655">
        <v>103.5</v>
      </c>
      <c r="D17" s="655">
        <v>121</v>
      </c>
      <c r="E17" s="657">
        <v>119.3</v>
      </c>
      <c r="F17" s="665">
        <v>119.9</v>
      </c>
      <c r="G17" s="665">
        <v>117.9</v>
      </c>
      <c r="H17" s="665">
        <v>124.4</v>
      </c>
      <c r="I17" s="665">
        <v>128.80000000000001</v>
      </c>
      <c r="J17" s="665">
        <v>128.9</v>
      </c>
      <c r="K17" s="665">
        <v>128.80000000000001</v>
      </c>
      <c r="L17" s="665">
        <v>129.4</v>
      </c>
      <c r="M17" s="665">
        <v>127.7</v>
      </c>
      <c r="N17" s="665">
        <v>126.5</v>
      </c>
      <c r="O17" s="665">
        <v>123.3</v>
      </c>
      <c r="P17" s="665">
        <v>123.7</v>
      </c>
      <c r="Q17" s="655">
        <v>132</v>
      </c>
    </row>
    <row r="20" spans="1:17" ht="15.75" x14ac:dyDescent="0.25">
      <c r="C20" s="799" t="s">
        <v>184</v>
      </c>
      <c r="D20" s="772"/>
      <c r="E20" s="772"/>
      <c r="F20" s="772"/>
      <c r="G20" s="772"/>
      <c r="H20" s="772"/>
      <c r="I20" s="772"/>
      <c r="J20" s="772"/>
      <c r="K20" s="772"/>
      <c r="L20" s="772"/>
      <c r="M20" s="772"/>
      <c r="N20" s="772"/>
      <c r="O20" s="772"/>
      <c r="P20" s="772"/>
      <c r="Q20" s="772"/>
    </row>
    <row r="21" spans="1:17" ht="26.25" thickBot="1" x14ac:dyDescent="0.3">
      <c r="C21" s="639" t="s">
        <v>183</v>
      </c>
      <c r="D21" s="800" t="s">
        <v>180</v>
      </c>
      <c r="E21" s="801"/>
      <c r="F21" s="801"/>
      <c r="G21" s="801"/>
      <c r="H21" s="801"/>
      <c r="I21" s="801"/>
      <c r="J21" s="801"/>
      <c r="K21" s="801"/>
      <c r="L21" s="801"/>
      <c r="M21" s="801"/>
      <c r="N21" s="801"/>
      <c r="O21" s="801"/>
      <c r="P21" s="801"/>
      <c r="Q21" s="638" t="s">
        <v>181</v>
      </c>
    </row>
    <row r="22" spans="1:17" ht="85.5" customHeight="1" x14ac:dyDescent="0.25">
      <c r="A22" s="749" t="s">
        <v>187</v>
      </c>
      <c r="B22" s="746"/>
      <c r="C22" s="633" t="s">
        <v>157</v>
      </c>
      <c r="D22" s="599" t="s">
        <v>151</v>
      </c>
      <c r="E22" s="600" t="s">
        <v>156</v>
      </c>
      <c r="F22" s="600" t="s">
        <v>152</v>
      </c>
      <c r="G22" s="600" t="s">
        <v>153</v>
      </c>
      <c r="H22" s="600" t="s">
        <v>158</v>
      </c>
      <c r="I22" s="600" t="s">
        <v>159</v>
      </c>
      <c r="J22" s="600" t="s">
        <v>160</v>
      </c>
      <c r="K22" s="600" t="s">
        <v>161</v>
      </c>
      <c r="L22" s="600" t="s">
        <v>162</v>
      </c>
      <c r="M22" s="600" t="s">
        <v>163</v>
      </c>
      <c r="N22" s="600" t="s">
        <v>164</v>
      </c>
      <c r="O22" s="600" t="s">
        <v>177</v>
      </c>
      <c r="P22" s="600" t="s">
        <v>178</v>
      </c>
      <c r="Q22" s="637" t="s">
        <v>179</v>
      </c>
    </row>
    <row r="23" spans="1:17" ht="15.75" hidden="1" thickBot="1" x14ac:dyDescent="0.3">
      <c r="A23" s="747"/>
      <c r="B23" s="748"/>
      <c r="C23" s="606">
        <v>111.5</v>
      </c>
      <c r="D23" s="606">
        <v>111.5</v>
      </c>
      <c r="E23" s="607">
        <v>110.3</v>
      </c>
      <c r="F23" s="608">
        <v>112</v>
      </c>
      <c r="G23" s="608">
        <v>112</v>
      </c>
      <c r="H23" s="608">
        <v>112</v>
      </c>
      <c r="I23" s="608">
        <v>112</v>
      </c>
      <c r="J23" s="608">
        <v>112</v>
      </c>
      <c r="K23" s="608">
        <v>112</v>
      </c>
      <c r="L23" s="608">
        <v>112</v>
      </c>
      <c r="M23" s="608">
        <v>112</v>
      </c>
      <c r="N23" s="608">
        <v>112</v>
      </c>
      <c r="O23" s="608">
        <v>112</v>
      </c>
      <c r="P23" s="608">
        <v>112</v>
      </c>
      <c r="Q23" s="607">
        <v>109.6</v>
      </c>
    </row>
    <row r="24" spans="1:17" ht="15.75" x14ac:dyDescent="0.25">
      <c r="B24" s="634" t="s">
        <v>165</v>
      </c>
      <c r="C24" s="643">
        <v>105.9</v>
      </c>
      <c r="D24" s="644">
        <v>118.3</v>
      </c>
      <c r="E24" s="645">
        <v>118.9</v>
      </c>
      <c r="F24" s="643">
        <v>117.2</v>
      </c>
      <c r="G24" s="643">
        <v>117.6</v>
      </c>
      <c r="H24" s="643">
        <v>123.6</v>
      </c>
      <c r="I24" s="643">
        <v>126</v>
      </c>
      <c r="J24" s="643">
        <v>128.30000000000001</v>
      </c>
      <c r="K24" s="643">
        <v>124.9</v>
      </c>
      <c r="L24" s="643">
        <v>129.1</v>
      </c>
      <c r="M24" s="643">
        <v>119.7</v>
      </c>
      <c r="N24" s="643">
        <v>126.3</v>
      </c>
      <c r="O24" s="643">
        <v>122.4</v>
      </c>
      <c r="P24" s="643">
        <v>123.5</v>
      </c>
      <c r="Q24" s="644">
        <v>117.9</v>
      </c>
    </row>
    <row r="25" spans="1:17" ht="15.75" x14ac:dyDescent="0.25">
      <c r="B25" s="634" t="s">
        <v>166</v>
      </c>
      <c r="C25" s="602">
        <v>105.3</v>
      </c>
      <c r="D25" s="602">
        <v>119.2</v>
      </c>
      <c r="E25" s="610">
        <v>119.8</v>
      </c>
      <c r="F25" s="611">
        <v>118.6</v>
      </c>
      <c r="G25" s="611">
        <v>118.8</v>
      </c>
      <c r="H25" s="611">
        <v>124.1</v>
      </c>
      <c r="I25" s="611">
        <v>126.7</v>
      </c>
      <c r="J25" s="611">
        <v>128.80000000000001</v>
      </c>
      <c r="K25" s="667">
        <v>125.9</v>
      </c>
      <c r="L25" s="611">
        <v>129.6</v>
      </c>
      <c r="M25" s="611">
        <v>120.5</v>
      </c>
      <c r="N25" s="611">
        <v>126.9</v>
      </c>
      <c r="O25" s="611">
        <v>123.4</v>
      </c>
      <c r="P25" s="611">
        <v>124.4</v>
      </c>
      <c r="Q25" s="602">
        <v>118</v>
      </c>
    </row>
    <row r="26" spans="1:17" ht="15.75" x14ac:dyDescent="0.25">
      <c r="B26" s="634" t="s">
        <v>167</v>
      </c>
      <c r="C26" s="652">
        <v>105.5</v>
      </c>
      <c r="D26" s="652">
        <v>121.4</v>
      </c>
      <c r="E26" s="653">
        <v>120.6</v>
      </c>
      <c r="F26" s="652">
        <v>121.9</v>
      </c>
      <c r="G26" s="652">
        <v>119.9</v>
      </c>
      <c r="H26" s="652">
        <v>124.3</v>
      </c>
      <c r="I26" s="652">
        <v>127.8</v>
      </c>
      <c r="J26" s="652">
        <v>128.4</v>
      </c>
      <c r="K26" s="652">
        <v>127.9</v>
      </c>
      <c r="L26" s="652">
        <v>129.5</v>
      </c>
      <c r="M26" s="652">
        <v>125.4</v>
      </c>
      <c r="N26" s="652">
        <v>127.2</v>
      </c>
      <c r="O26" s="652">
        <v>124</v>
      </c>
      <c r="P26" s="652">
        <v>124.4</v>
      </c>
      <c r="Q26" s="652">
        <v>126.4</v>
      </c>
    </row>
    <row r="27" spans="1:17" ht="15.75" x14ac:dyDescent="0.25">
      <c r="B27" s="634" t="s">
        <v>168</v>
      </c>
      <c r="C27" s="650">
        <v>105.6</v>
      </c>
      <c r="D27" s="650">
        <v>122.6</v>
      </c>
      <c r="E27" s="657">
        <v>120.6</v>
      </c>
      <c r="F27" s="652">
        <v>123.5</v>
      </c>
      <c r="G27" s="652">
        <v>119.8</v>
      </c>
      <c r="H27" s="652">
        <v>124.4</v>
      </c>
      <c r="I27" s="652">
        <v>129.19999999999999</v>
      </c>
      <c r="J27" s="652">
        <v>128.6</v>
      </c>
      <c r="K27" s="652">
        <v>129.9</v>
      </c>
      <c r="L27" s="652">
        <v>129.6</v>
      </c>
      <c r="M27" s="652">
        <v>129.30000000000001</v>
      </c>
      <c r="N27" s="652">
        <v>127.3</v>
      </c>
      <c r="O27" s="652">
        <v>124.5</v>
      </c>
      <c r="P27" s="652">
        <v>124.6</v>
      </c>
      <c r="Q27" s="655">
        <v>133.69999999999999</v>
      </c>
    </row>
    <row r="28" spans="1:17" ht="15.75" x14ac:dyDescent="0.25">
      <c r="B28" s="634" t="s">
        <v>169</v>
      </c>
      <c r="C28" s="655">
        <v>105.5</v>
      </c>
      <c r="D28" s="655">
        <v>124.7</v>
      </c>
      <c r="E28" s="657">
        <v>122.6</v>
      </c>
      <c r="F28" s="665">
        <v>126.2</v>
      </c>
      <c r="G28" s="665">
        <v>122.3</v>
      </c>
      <c r="H28" s="665">
        <v>126.1</v>
      </c>
      <c r="I28" s="665">
        <v>130.30000000000001</v>
      </c>
      <c r="J28" s="665">
        <v>129.5</v>
      </c>
      <c r="K28" s="665">
        <v>131.4</v>
      </c>
      <c r="L28" s="665">
        <v>131</v>
      </c>
      <c r="M28" s="665">
        <v>131.4</v>
      </c>
      <c r="N28" s="665">
        <v>129.30000000000001</v>
      </c>
      <c r="O28" s="665">
        <v>126</v>
      </c>
      <c r="P28" s="665">
        <v>125.9</v>
      </c>
      <c r="Q28" s="655">
        <v>133.80000000000001</v>
      </c>
    </row>
    <row r="29" spans="1:17" ht="15.75" x14ac:dyDescent="0.25">
      <c r="B29" s="634" t="s">
        <v>170</v>
      </c>
      <c r="C29" s="655">
        <v>105.5</v>
      </c>
      <c r="D29" s="655">
        <v>124</v>
      </c>
      <c r="E29" s="657">
        <v>121.1</v>
      </c>
      <c r="F29" s="665">
        <v>125.2</v>
      </c>
      <c r="G29" s="665">
        <v>120.5</v>
      </c>
      <c r="H29" s="665">
        <v>124.5</v>
      </c>
      <c r="I29" s="665">
        <v>130</v>
      </c>
      <c r="J29" s="665">
        <v>128.5</v>
      </c>
      <c r="K29" s="665">
        <v>131.1</v>
      </c>
      <c r="L29" s="665">
        <v>129.4</v>
      </c>
      <c r="M29" s="665">
        <v>132.19999999999999</v>
      </c>
      <c r="N29" s="665">
        <v>127.2</v>
      </c>
      <c r="O29" s="665">
        <v>124.7</v>
      </c>
      <c r="P29" s="665">
        <v>124.4</v>
      </c>
      <c r="Q29" s="655">
        <v>136.80000000000001</v>
      </c>
    </row>
    <row r="30" spans="1:17" ht="15.75" x14ac:dyDescent="0.25">
      <c r="B30" s="634" t="s">
        <v>171</v>
      </c>
      <c r="C30" s="655">
        <v>106</v>
      </c>
      <c r="D30" s="655">
        <v>123.5</v>
      </c>
      <c r="E30" s="657">
        <v>121.7</v>
      </c>
      <c r="F30" s="665">
        <v>123.9</v>
      </c>
      <c r="G30" s="665">
        <v>120.7</v>
      </c>
      <c r="H30" s="665">
        <v>125.3</v>
      </c>
      <c r="I30" s="665">
        <v>129.19999999999999</v>
      </c>
      <c r="J30" s="665">
        <v>128.5</v>
      </c>
      <c r="K30" s="665">
        <v>129.5</v>
      </c>
      <c r="L30" s="665">
        <v>128.9</v>
      </c>
      <c r="M30" s="665">
        <v>129.5</v>
      </c>
      <c r="N30" s="665">
        <v>126.6</v>
      </c>
      <c r="O30" s="665">
        <v>124.4</v>
      </c>
      <c r="P30" s="665">
        <v>124.2</v>
      </c>
      <c r="Q30" s="655">
        <v>130.4</v>
      </c>
    </row>
    <row r="31" spans="1:17" ht="15.75" x14ac:dyDescent="0.25">
      <c r="B31" s="634" t="s">
        <v>172</v>
      </c>
      <c r="C31" s="655">
        <v>106.1</v>
      </c>
      <c r="D31" s="655">
        <v>124.3</v>
      </c>
      <c r="E31" s="668">
        <v>122</v>
      </c>
      <c r="F31" s="665">
        <v>125</v>
      </c>
      <c r="G31" s="665">
        <v>121.5</v>
      </c>
      <c r="H31" s="665">
        <v>125.4</v>
      </c>
      <c r="I31" s="665">
        <v>130</v>
      </c>
      <c r="J31" s="665">
        <v>128.9</v>
      </c>
      <c r="K31" s="665">
        <v>130.69999999999999</v>
      </c>
      <c r="L31" s="665">
        <v>129.6</v>
      </c>
      <c r="M31" s="665">
        <v>131.19999999999999</v>
      </c>
      <c r="N31" s="665">
        <v>127</v>
      </c>
      <c r="O31" s="665">
        <v>124.9</v>
      </c>
      <c r="P31" s="665">
        <v>124.7</v>
      </c>
      <c r="Q31" s="655">
        <v>129.1</v>
      </c>
    </row>
    <row r="32" spans="1:17" ht="15.75" x14ac:dyDescent="0.25">
      <c r="B32" s="634" t="s">
        <v>173</v>
      </c>
      <c r="C32" s="655">
        <v>106.2</v>
      </c>
      <c r="D32" s="655">
        <v>123.8</v>
      </c>
      <c r="E32" s="657">
        <v>122.8</v>
      </c>
      <c r="F32" s="665">
        <v>124.3</v>
      </c>
      <c r="G32" s="665">
        <v>122.2</v>
      </c>
      <c r="H32" s="665">
        <v>126</v>
      </c>
      <c r="I32" s="665">
        <v>129.30000000000001</v>
      </c>
      <c r="J32" s="665">
        <v>129.30000000000001</v>
      </c>
      <c r="K32" s="665">
        <v>129.4</v>
      </c>
      <c r="L32" s="665">
        <v>130.1</v>
      </c>
      <c r="M32" s="665">
        <v>128</v>
      </c>
      <c r="N32" s="665">
        <v>127.6</v>
      </c>
      <c r="O32" s="665">
        <v>125</v>
      </c>
      <c r="P32" s="665">
        <v>125.1</v>
      </c>
      <c r="Q32" s="655">
        <v>131.5</v>
      </c>
    </row>
    <row r="33" spans="1:17" ht="15.75" x14ac:dyDescent="0.25">
      <c r="B33" s="634" t="s">
        <v>174</v>
      </c>
      <c r="C33" s="655">
        <v>106.3</v>
      </c>
      <c r="D33" s="655">
        <v>125.2</v>
      </c>
      <c r="E33" s="657">
        <v>123.1</v>
      </c>
      <c r="F33" s="665">
        <v>125.8</v>
      </c>
      <c r="G33" s="665">
        <v>122.6</v>
      </c>
      <c r="H33" s="665">
        <v>126.2</v>
      </c>
      <c r="I33" s="665">
        <v>130.1</v>
      </c>
      <c r="J33" s="665">
        <v>129</v>
      </c>
      <c r="K33" s="665">
        <v>130.80000000000001</v>
      </c>
      <c r="L33" s="665">
        <v>129.6</v>
      </c>
      <c r="M33" s="665">
        <v>131.5</v>
      </c>
      <c r="N33" s="665">
        <v>127.5</v>
      </c>
      <c r="O33" s="665">
        <v>125.3</v>
      </c>
      <c r="P33" s="665">
        <v>124.9</v>
      </c>
      <c r="Q33" s="655">
        <v>133.80000000000001</v>
      </c>
    </row>
    <row r="34" spans="1:17" ht="15.75" x14ac:dyDescent="0.25">
      <c r="B34" s="634" t="s">
        <v>175</v>
      </c>
      <c r="C34" s="655">
        <v>106.2</v>
      </c>
      <c r="D34" s="655">
        <v>122</v>
      </c>
      <c r="E34" s="657">
        <v>122.1</v>
      </c>
      <c r="F34" s="665">
        <v>122</v>
      </c>
      <c r="G34" s="665">
        <v>121.8</v>
      </c>
      <c r="H34" s="665">
        <v>125.1</v>
      </c>
      <c r="I34" s="665">
        <v>127.1</v>
      </c>
      <c r="J34" s="665">
        <v>128</v>
      </c>
      <c r="K34" s="665">
        <v>126.5</v>
      </c>
      <c r="L34" s="665">
        <v>128.6</v>
      </c>
      <c r="M34" s="665">
        <v>123.7</v>
      </c>
      <c r="N34" s="665">
        <v>126.5</v>
      </c>
      <c r="O34" s="665">
        <v>123.8</v>
      </c>
      <c r="P34" s="665">
        <v>124.2</v>
      </c>
      <c r="Q34" s="655">
        <v>132.4</v>
      </c>
    </row>
    <row r="35" spans="1:17" ht="15.75" x14ac:dyDescent="0.25">
      <c r="B35" s="634" t="s">
        <v>176</v>
      </c>
      <c r="C35" s="655">
        <v>106.3</v>
      </c>
      <c r="D35" s="655">
        <v>119.1</v>
      </c>
      <c r="E35" s="657">
        <v>122</v>
      </c>
      <c r="F35" s="665">
        <v>118</v>
      </c>
      <c r="G35" s="665">
        <v>121.6</v>
      </c>
      <c r="H35" s="665">
        <v>124.9</v>
      </c>
      <c r="I35" s="665">
        <v>124.3</v>
      </c>
      <c r="J35" s="665">
        <v>127.8</v>
      </c>
      <c r="K35" s="665">
        <v>122</v>
      </c>
      <c r="L35" s="665">
        <v>128.30000000000001</v>
      </c>
      <c r="M35" s="665">
        <v>114.8</v>
      </c>
      <c r="N35" s="665">
        <v>126.1</v>
      </c>
      <c r="O35" s="665">
        <v>122.7</v>
      </c>
      <c r="P35" s="665">
        <v>123.9</v>
      </c>
      <c r="Q35" s="655">
        <v>131</v>
      </c>
    </row>
    <row r="36" spans="1:17" ht="15.75" x14ac:dyDescent="0.25">
      <c r="C36" s="655"/>
      <c r="D36" s="655"/>
      <c r="E36" s="657"/>
      <c r="F36" s="665"/>
      <c r="G36" s="665"/>
      <c r="H36" s="665"/>
      <c r="I36" s="665"/>
      <c r="J36" s="665"/>
      <c r="K36" s="665"/>
      <c r="L36" s="665"/>
      <c r="M36" s="665"/>
      <c r="N36" s="665"/>
      <c r="O36" s="665"/>
      <c r="P36" s="665"/>
      <c r="Q36" s="655"/>
    </row>
    <row r="39" spans="1:17" ht="15.75" x14ac:dyDescent="0.25">
      <c r="C39" s="799" t="s">
        <v>184</v>
      </c>
      <c r="D39" s="772"/>
      <c r="E39" s="772"/>
      <c r="F39" s="772"/>
      <c r="G39" s="772"/>
      <c r="H39" s="772"/>
      <c r="I39" s="772"/>
      <c r="J39" s="772"/>
      <c r="K39" s="772"/>
      <c r="L39" s="772"/>
      <c r="M39" s="772"/>
      <c r="N39" s="772"/>
      <c r="O39" s="772"/>
      <c r="P39" s="772"/>
      <c r="Q39" s="772"/>
    </row>
    <row r="40" spans="1:17" ht="26.25" thickBot="1" x14ac:dyDescent="0.3">
      <c r="C40" s="639" t="s">
        <v>183</v>
      </c>
      <c r="D40" s="800" t="s">
        <v>180</v>
      </c>
      <c r="E40" s="801"/>
      <c r="F40" s="801"/>
      <c r="G40" s="801"/>
      <c r="H40" s="801"/>
      <c r="I40" s="801"/>
      <c r="J40" s="801"/>
      <c r="K40" s="801"/>
      <c r="L40" s="801"/>
      <c r="M40" s="801"/>
      <c r="N40" s="801"/>
      <c r="O40" s="801"/>
      <c r="P40" s="801"/>
      <c r="Q40" s="638" t="s">
        <v>181</v>
      </c>
    </row>
    <row r="41" spans="1:17" ht="102" x14ac:dyDescent="0.25">
      <c r="A41" s="790" t="s">
        <v>188</v>
      </c>
      <c r="B41" s="791"/>
      <c r="C41" s="675" t="s">
        <v>157</v>
      </c>
      <c r="D41" s="673" t="s">
        <v>151</v>
      </c>
      <c r="E41" s="673" t="s">
        <v>156</v>
      </c>
      <c r="F41" s="673" t="s">
        <v>152</v>
      </c>
      <c r="G41" s="673" t="s">
        <v>153</v>
      </c>
      <c r="H41" s="673" t="s">
        <v>158</v>
      </c>
      <c r="I41" s="673" t="s">
        <v>159</v>
      </c>
      <c r="J41" s="673" t="s">
        <v>160</v>
      </c>
      <c r="K41" s="673" t="s">
        <v>161</v>
      </c>
      <c r="L41" s="673" t="s">
        <v>162</v>
      </c>
      <c r="M41" s="673" t="s">
        <v>163</v>
      </c>
      <c r="N41" s="673" t="s">
        <v>164</v>
      </c>
      <c r="O41" s="673" t="s">
        <v>177</v>
      </c>
      <c r="P41" s="673" t="s">
        <v>178</v>
      </c>
      <c r="Q41" s="676" t="s">
        <v>179</v>
      </c>
    </row>
    <row r="42" spans="1:17" ht="15.75" thickBot="1" x14ac:dyDescent="0.3">
      <c r="A42" s="792"/>
      <c r="B42" s="793"/>
      <c r="C42" s="606"/>
      <c r="D42" s="606"/>
      <c r="E42" s="607"/>
      <c r="F42" s="608"/>
      <c r="G42" s="608"/>
      <c r="H42" s="608"/>
      <c r="I42" s="608"/>
      <c r="J42" s="608"/>
      <c r="K42" s="608"/>
      <c r="L42" s="608"/>
      <c r="M42" s="608"/>
      <c r="N42" s="608"/>
      <c r="O42" s="608"/>
      <c r="P42" s="608"/>
      <c r="Q42" s="674"/>
    </row>
    <row r="43" spans="1:17" ht="15.75" x14ac:dyDescent="0.25">
      <c r="B43" s="634" t="s">
        <v>165</v>
      </c>
      <c r="C43" s="643">
        <v>108.5</v>
      </c>
      <c r="D43" s="644">
        <v>120.2</v>
      </c>
      <c r="E43" s="645">
        <v>123.2</v>
      </c>
      <c r="F43" s="643">
        <v>119.3</v>
      </c>
      <c r="G43" s="643">
        <v>123.2</v>
      </c>
      <c r="H43" s="643">
        <v>125.7</v>
      </c>
      <c r="I43" s="643">
        <v>124.4</v>
      </c>
      <c r="J43" s="643">
        <v>128</v>
      </c>
      <c r="K43" s="643">
        <v>122.4</v>
      </c>
      <c r="L43" s="643">
        <v>128.9</v>
      </c>
      <c r="M43" s="643">
        <v>115.1</v>
      </c>
      <c r="N43" s="643">
        <v>127.1</v>
      </c>
      <c r="O43" s="643">
        <v>123.4</v>
      </c>
      <c r="P43" s="643">
        <v>124.6</v>
      </c>
      <c r="Q43" s="644">
        <v>131.80000000000001</v>
      </c>
    </row>
    <row r="44" spans="1:17" ht="15.75" x14ac:dyDescent="0.25">
      <c r="B44" s="634" t="s">
        <v>166</v>
      </c>
      <c r="C44" s="602">
        <v>109</v>
      </c>
      <c r="D44" s="602">
        <v>121.2</v>
      </c>
      <c r="E44" s="610">
        <v>122.2</v>
      </c>
      <c r="F44" s="611">
        <v>121</v>
      </c>
      <c r="G44" s="611">
        <v>121.9</v>
      </c>
      <c r="H44" s="611">
        <v>124.8</v>
      </c>
      <c r="I44" s="611">
        <v>125.4</v>
      </c>
      <c r="J44" s="611">
        <v>127.1</v>
      </c>
      <c r="K44" s="667">
        <v>124.4</v>
      </c>
      <c r="L44" s="611">
        <v>127.7</v>
      </c>
      <c r="M44" s="611">
        <v>120.4</v>
      </c>
      <c r="N44" s="611">
        <v>125.6</v>
      </c>
      <c r="O44" s="611">
        <v>123</v>
      </c>
      <c r="P44" s="611">
        <v>123.6</v>
      </c>
      <c r="Q44" s="602">
        <v>131.30000000000001</v>
      </c>
    </row>
    <row r="45" spans="1:17" ht="15.75" x14ac:dyDescent="0.25">
      <c r="B45" s="634" t="s">
        <v>167</v>
      </c>
      <c r="C45" s="652">
        <v>109.9</v>
      </c>
      <c r="D45" s="652">
        <v>120.7</v>
      </c>
      <c r="E45" s="653">
        <v>122</v>
      </c>
      <c r="F45" s="652">
        <v>120.2</v>
      </c>
      <c r="G45" s="652">
        <v>121.7</v>
      </c>
      <c r="H45" s="652">
        <v>124.7</v>
      </c>
      <c r="I45" s="652">
        <v>125</v>
      </c>
      <c r="J45" s="652">
        <v>127</v>
      </c>
      <c r="K45" s="652">
        <v>123.8</v>
      </c>
      <c r="L45" s="652">
        <v>127.6</v>
      </c>
      <c r="M45" s="652">
        <v>119.2</v>
      </c>
      <c r="N45" s="652">
        <v>125.5</v>
      </c>
      <c r="O45" s="652">
        <v>122.8</v>
      </c>
      <c r="P45" s="652">
        <v>123.5</v>
      </c>
      <c r="Q45" s="652">
        <v>126.4</v>
      </c>
    </row>
    <row r="46" spans="1:17" ht="15.75" x14ac:dyDescent="0.25">
      <c r="B46" s="634" t="s">
        <v>168</v>
      </c>
      <c r="C46" s="650">
        <v>111</v>
      </c>
      <c r="D46" s="650">
        <v>114.9</v>
      </c>
      <c r="E46" s="657">
        <v>115.9</v>
      </c>
      <c r="F46" s="652">
        <v>117.7</v>
      </c>
      <c r="G46" s="652">
        <v>115.4</v>
      </c>
      <c r="H46" s="652">
        <v>119.3</v>
      </c>
      <c r="I46" s="652">
        <v>121.8</v>
      </c>
      <c r="J46" s="652">
        <v>124.2</v>
      </c>
      <c r="K46" s="652">
        <v>121.7</v>
      </c>
      <c r="L46" s="652">
        <v>126.5</v>
      </c>
      <c r="M46" s="652">
        <v>115.6</v>
      </c>
      <c r="N46" s="652">
        <v>124.1</v>
      </c>
      <c r="O46" s="652">
        <v>119.9</v>
      </c>
      <c r="P46" s="652">
        <v>121.1</v>
      </c>
      <c r="Q46" s="655">
        <v>113.8</v>
      </c>
    </row>
    <row r="47" spans="1:17" ht="15.75" x14ac:dyDescent="0.25">
      <c r="B47" s="634" t="s">
        <v>169</v>
      </c>
      <c r="C47" s="655">
        <v>112.7</v>
      </c>
      <c r="D47" s="655">
        <v>113.4</v>
      </c>
      <c r="E47" s="657">
        <v>115.4</v>
      </c>
      <c r="F47" s="665">
        <v>115.7</v>
      </c>
      <c r="G47" s="665">
        <v>114.8</v>
      </c>
      <c r="H47" s="665">
        <v>118.3</v>
      </c>
      <c r="I47" s="665">
        <v>119.2</v>
      </c>
      <c r="J47" s="665">
        <v>122.2</v>
      </c>
      <c r="K47" s="665">
        <v>118.3</v>
      </c>
      <c r="L47" s="665">
        <v>124</v>
      </c>
      <c r="M47" s="665">
        <v>111.3</v>
      </c>
      <c r="N47" s="665">
        <v>121.6</v>
      </c>
      <c r="O47" s="665">
        <v>118.3</v>
      </c>
      <c r="P47" s="665">
        <v>119.5</v>
      </c>
      <c r="Q47" s="655">
        <v>99.3</v>
      </c>
    </row>
    <row r="48" spans="1:17" ht="15.75" x14ac:dyDescent="0.25">
      <c r="B48" s="634" t="s">
        <v>170</v>
      </c>
      <c r="C48" s="655">
        <v>112.8</v>
      </c>
      <c r="D48" s="655">
        <v>114.4</v>
      </c>
      <c r="E48" s="657">
        <v>117.3</v>
      </c>
      <c r="F48" s="665">
        <v>114.9</v>
      </c>
      <c r="G48" s="665">
        <v>115.6</v>
      </c>
      <c r="H48" s="665">
        <v>120.7</v>
      </c>
      <c r="I48" s="665">
        <v>119.8</v>
      </c>
      <c r="J48" s="665">
        <v>123.5</v>
      </c>
      <c r="K48" s="665">
        <v>118.1</v>
      </c>
      <c r="L48" s="665">
        <v>124.8</v>
      </c>
      <c r="M48" s="665">
        <v>110.3</v>
      </c>
      <c r="N48" s="665">
        <v>122</v>
      </c>
      <c r="O48" s="665">
        <v>118.7</v>
      </c>
      <c r="P48" s="665">
        <v>120.2</v>
      </c>
      <c r="Q48" s="655">
        <v>101.2</v>
      </c>
    </row>
    <row r="49" spans="1:18" ht="15.75" x14ac:dyDescent="0.25">
      <c r="B49" s="634" t="s">
        <v>171</v>
      </c>
      <c r="C49" s="655">
        <v>112.8</v>
      </c>
      <c r="D49" s="655">
        <v>116.4</v>
      </c>
      <c r="E49" s="657">
        <v>117.8</v>
      </c>
      <c r="F49" s="665">
        <v>117.3</v>
      </c>
      <c r="G49" s="665">
        <v>116</v>
      </c>
      <c r="H49" s="665">
        <v>121</v>
      </c>
      <c r="I49" s="665">
        <v>121.3</v>
      </c>
      <c r="J49" s="665">
        <v>123.4</v>
      </c>
      <c r="K49" s="665">
        <v>120.6</v>
      </c>
      <c r="L49" s="665">
        <v>124.6</v>
      </c>
      <c r="M49" s="665">
        <v>115.6</v>
      </c>
      <c r="N49" s="665">
        <v>121.9</v>
      </c>
      <c r="O49" s="665">
        <v>119.3</v>
      </c>
      <c r="P49" s="665">
        <v>120.2</v>
      </c>
      <c r="Q49" s="655">
        <v>116.9</v>
      </c>
    </row>
    <row r="50" spans="1:18" ht="15.75" x14ac:dyDescent="0.25">
      <c r="B50" s="634" t="s">
        <v>172</v>
      </c>
      <c r="C50" s="655">
        <v>115.2</v>
      </c>
      <c r="D50" s="655">
        <v>118.2</v>
      </c>
      <c r="E50" s="657">
        <v>119.3</v>
      </c>
      <c r="F50" s="665">
        <v>119</v>
      </c>
      <c r="G50" s="665">
        <v>117.9</v>
      </c>
      <c r="H50" s="665">
        <v>122.7</v>
      </c>
      <c r="I50" s="665">
        <v>122.9</v>
      </c>
      <c r="J50" s="665">
        <v>124.8</v>
      </c>
      <c r="K50" s="665">
        <v>122.2</v>
      </c>
      <c r="L50" s="665">
        <v>125.9</v>
      </c>
      <c r="M50" s="665">
        <v>117.8</v>
      </c>
      <c r="N50" s="665">
        <v>123.9</v>
      </c>
      <c r="O50" s="665">
        <v>121</v>
      </c>
      <c r="P50" s="665">
        <v>121.8</v>
      </c>
      <c r="Q50" s="655">
        <v>121</v>
      </c>
    </row>
    <row r="51" spans="1:18" ht="15.75" x14ac:dyDescent="0.25">
      <c r="B51" s="634" t="s">
        <v>173</v>
      </c>
      <c r="C51" s="655">
        <v>115.1</v>
      </c>
      <c r="D51" s="655">
        <v>120.4</v>
      </c>
      <c r="E51" s="657">
        <v>120.6</v>
      </c>
      <c r="F51" s="665">
        <v>120.8</v>
      </c>
      <c r="G51" s="665">
        <v>118.4</v>
      </c>
      <c r="H51" s="665">
        <v>124.5</v>
      </c>
      <c r="I51" s="665">
        <v>125.3</v>
      </c>
      <c r="J51" s="665">
        <v>126.2</v>
      </c>
      <c r="K51" s="665">
        <v>124.8</v>
      </c>
      <c r="L51" s="665">
        <v>126.9</v>
      </c>
      <c r="M51" s="665">
        <v>122</v>
      </c>
      <c r="N51" s="665">
        <v>124.4</v>
      </c>
      <c r="O51" s="665">
        <v>122.3</v>
      </c>
      <c r="P51" s="665">
        <v>122.7</v>
      </c>
      <c r="Q51" s="655">
        <v>119.1</v>
      </c>
    </row>
    <row r="52" spans="1:18" ht="15.75" x14ac:dyDescent="0.25">
      <c r="B52" s="634" t="s">
        <v>174</v>
      </c>
      <c r="C52" s="655">
        <v>116.2</v>
      </c>
      <c r="D52" s="655">
        <v>120.6</v>
      </c>
      <c r="E52" s="657">
        <v>121.9</v>
      </c>
      <c r="F52" s="665">
        <v>120.2</v>
      </c>
      <c r="G52" s="665">
        <v>119.3</v>
      </c>
      <c r="H52" s="665">
        <v>126.4</v>
      </c>
      <c r="I52" s="665">
        <v>125.4</v>
      </c>
      <c r="J52" s="665">
        <v>127.4</v>
      </c>
      <c r="K52" s="665">
        <v>124.3</v>
      </c>
      <c r="L52" s="665">
        <v>127.9</v>
      </c>
      <c r="M52" s="665">
        <v>120</v>
      </c>
      <c r="N52" s="665">
        <v>125.2</v>
      </c>
      <c r="O52" s="665">
        <v>122.9</v>
      </c>
      <c r="P52" s="665">
        <v>123.7</v>
      </c>
      <c r="Q52" s="655">
        <v>110.7</v>
      </c>
    </row>
    <row r="53" spans="1:18" ht="15.75" x14ac:dyDescent="0.25">
      <c r="B53" s="634" t="s">
        <v>175</v>
      </c>
      <c r="C53" s="655">
        <v>116</v>
      </c>
      <c r="D53" s="655">
        <v>120.6</v>
      </c>
      <c r="E53" s="657">
        <v>121.9</v>
      </c>
      <c r="F53" s="665">
        <v>118.6</v>
      </c>
      <c r="G53" s="665">
        <v>117.8</v>
      </c>
      <c r="H53" s="665">
        <v>127.7</v>
      </c>
      <c r="I53" s="665">
        <v>126.1</v>
      </c>
      <c r="J53" s="665">
        <v>128.19999999999999</v>
      </c>
      <c r="K53" s="665">
        <v>124.1</v>
      </c>
      <c r="L53" s="665">
        <v>127.7</v>
      </c>
      <c r="M53" s="665">
        <v>120</v>
      </c>
      <c r="N53" s="665">
        <v>124.3</v>
      </c>
      <c r="O53" s="665">
        <v>123</v>
      </c>
      <c r="P53" s="665">
        <v>123.7</v>
      </c>
      <c r="Q53" s="655">
        <v>109.7</v>
      </c>
    </row>
    <row r="54" spans="1:18" ht="15.75" x14ac:dyDescent="0.25">
      <c r="B54" s="634" t="s">
        <v>176</v>
      </c>
      <c r="C54" s="655">
        <v>115.9</v>
      </c>
      <c r="D54" s="655">
        <v>122.8</v>
      </c>
      <c r="E54" s="657">
        <v>124.9</v>
      </c>
      <c r="F54" s="665">
        <v>121.3</v>
      </c>
      <c r="G54" s="665">
        <v>121.5</v>
      </c>
      <c r="H54" s="665">
        <v>130.80000000000001</v>
      </c>
      <c r="I54" s="665">
        <v>128.5</v>
      </c>
      <c r="J54" s="665">
        <v>131.4</v>
      </c>
      <c r="K54" s="665">
        <v>126.8</v>
      </c>
      <c r="L54" s="665">
        <v>131.80000000000001</v>
      </c>
      <c r="M54" s="665">
        <v>121.3</v>
      </c>
      <c r="N54" s="665">
        <v>128.19999999999999</v>
      </c>
      <c r="O54" s="665">
        <v>125.7</v>
      </c>
      <c r="P54" s="665">
        <v>126.8</v>
      </c>
      <c r="Q54" s="655">
        <v>111.5</v>
      </c>
      <c r="R54" s="697">
        <v>100</v>
      </c>
    </row>
    <row r="55" spans="1:18" ht="15.75" x14ac:dyDescent="0.25">
      <c r="B55" s="634"/>
      <c r="Q55" s="679"/>
    </row>
    <row r="57" spans="1:18" ht="26.25" thickBot="1" x14ac:dyDescent="0.3">
      <c r="C57" s="680" t="s">
        <v>183</v>
      </c>
      <c r="D57" s="794" t="s">
        <v>180</v>
      </c>
      <c r="E57" s="795"/>
      <c r="F57" s="795"/>
      <c r="G57" s="795"/>
      <c r="H57" s="795"/>
      <c r="I57" s="795"/>
      <c r="J57" s="795"/>
      <c r="K57" s="795"/>
      <c r="L57" s="795"/>
      <c r="M57" s="795"/>
      <c r="N57" s="795"/>
      <c r="O57" s="795"/>
      <c r="P57" s="795"/>
      <c r="Q57" s="638" t="s">
        <v>181</v>
      </c>
    </row>
    <row r="58" spans="1:18" ht="102" x14ac:dyDescent="0.25">
      <c r="A58" s="745" t="s">
        <v>189</v>
      </c>
      <c r="B58" s="746"/>
      <c r="C58" s="681" t="s">
        <v>157</v>
      </c>
      <c r="D58" s="682" t="s">
        <v>151</v>
      </c>
      <c r="E58" s="682" t="s">
        <v>156</v>
      </c>
      <c r="F58" s="682" t="s">
        <v>152</v>
      </c>
      <c r="G58" s="682" t="s">
        <v>153</v>
      </c>
      <c r="H58" s="682" t="s">
        <v>158</v>
      </c>
      <c r="I58" s="682" t="s">
        <v>159</v>
      </c>
      <c r="J58" s="682" t="s">
        <v>160</v>
      </c>
      <c r="K58" s="682" t="s">
        <v>161</v>
      </c>
      <c r="L58" s="682" t="s">
        <v>162</v>
      </c>
      <c r="M58" s="682" t="s">
        <v>163</v>
      </c>
      <c r="N58" s="682" t="s">
        <v>164</v>
      </c>
      <c r="O58" s="682" t="s">
        <v>177</v>
      </c>
      <c r="P58" s="682" t="s">
        <v>178</v>
      </c>
      <c r="Q58" s="684" t="s">
        <v>190</v>
      </c>
      <c r="R58" s="683" t="s">
        <v>191</v>
      </c>
    </row>
    <row r="59" spans="1:18" ht="15.75" thickBot="1" x14ac:dyDescent="0.3">
      <c r="A59" s="747"/>
      <c r="B59" s="748"/>
      <c r="C59" s="606"/>
      <c r="D59" s="606"/>
      <c r="E59" s="607"/>
      <c r="F59" s="608"/>
      <c r="G59" s="608"/>
      <c r="H59" s="608"/>
      <c r="I59" s="608"/>
      <c r="J59" s="608"/>
      <c r="K59" s="608"/>
      <c r="L59" s="608"/>
      <c r="M59" s="608"/>
      <c r="N59" s="608"/>
      <c r="O59" s="608"/>
      <c r="P59" s="608"/>
      <c r="Q59" s="677"/>
    </row>
    <row r="60" spans="1:18" ht="15.75" x14ac:dyDescent="0.25">
      <c r="B60" s="634" t="s">
        <v>165</v>
      </c>
      <c r="C60" s="643">
        <v>116.6</v>
      </c>
      <c r="D60" s="644">
        <v>125.4</v>
      </c>
      <c r="E60" s="645">
        <v>126.9</v>
      </c>
      <c r="F60" s="643">
        <v>122.1</v>
      </c>
      <c r="G60" s="643">
        <v>122.4</v>
      </c>
      <c r="H60" s="643">
        <v>131.69999999999999</v>
      </c>
      <c r="I60" s="643">
        <v>128.1</v>
      </c>
      <c r="J60" s="643">
        <v>129.9</v>
      </c>
      <c r="K60" s="643">
        <v>126.9</v>
      </c>
      <c r="L60" s="643">
        <v>129.69999999999999</v>
      </c>
      <c r="M60" s="643">
        <v>124.3</v>
      </c>
      <c r="N60" s="643">
        <v>127</v>
      </c>
      <c r="O60" s="643">
        <v>124.9</v>
      </c>
      <c r="P60" s="643">
        <v>125.5</v>
      </c>
      <c r="Q60" s="678">
        <v>104.5</v>
      </c>
    </row>
    <row r="61" spans="1:18" ht="15.75" x14ac:dyDescent="0.25">
      <c r="B61" s="634" t="s">
        <v>166</v>
      </c>
      <c r="C61" s="602">
        <v>115.3</v>
      </c>
      <c r="D61" s="602">
        <v>130.1</v>
      </c>
      <c r="E61" s="685">
        <v>131.69999999999999</v>
      </c>
      <c r="F61" s="611">
        <v>126.3</v>
      </c>
      <c r="G61" s="611">
        <v>126.2</v>
      </c>
      <c r="H61" s="611">
        <v>137.30000000000001</v>
      </c>
      <c r="I61" s="611">
        <v>131.80000000000001</v>
      </c>
      <c r="J61" s="611">
        <v>133.5</v>
      </c>
      <c r="K61" s="611">
        <v>130.69999999999999</v>
      </c>
      <c r="L61" s="611">
        <v>132.9</v>
      </c>
      <c r="M61" s="611">
        <v>129.4</v>
      </c>
      <c r="N61" s="611">
        <v>131.6</v>
      </c>
      <c r="O61" s="611">
        <v>128.4</v>
      </c>
      <c r="P61" s="611">
        <v>128.30000000000001</v>
      </c>
      <c r="Q61" s="602">
        <v>109.3</v>
      </c>
    </row>
    <row r="62" spans="1:18" ht="15.75" x14ac:dyDescent="0.25">
      <c r="B62" s="634" t="s">
        <v>167</v>
      </c>
      <c r="C62" s="652">
        <v>115.3</v>
      </c>
      <c r="D62" s="652">
        <v>133.19999999999999</v>
      </c>
      <c r="E62" s="653">
        <v>133.4</v>
      </c>
      <c r="F62" s="652">
        <v>130.6</v>
      </c>
      <c r="G62" s="652">
        <v>128.30000000000001</v>
      </c>
      <c r="H62" s="652">
        <v>139.5</v>
      </c>
      <c r="I62" s="652">
        <v>135.9</v>
      </c>
      <c r="J62" s="652">
        <v>136.6</v>
      </c>
      <c r="K62" s="652">
        <v>135.6</v>
      </c>
      <c r="L62" s="652">
        <v>136.1</v>
      </c>
      <c r="M62" s="652">
        <v>135.80000000000001</v>
      </c>
      <c r="N62" s="652">
        <v>134.9</v>
      </c>
      <c r="O62" s="652">
        <v>131.6</v>
      </c>
      <c r="P62" s="652">
        <v>131.69999999999999</v>
      </c>
      <c r="Q62" s="652">
        <v>113.8</v>
      </c>
    </row>
    <row r="63" spans="1:18" ht="15.75" x14ac:dyDescent="0.25">
      <c r="B63" s="634" t="s">
        <v>168</v>
      </c>
      <c r="C63" s="650">
        <v>114.7</v>
      </c>
      <c r="D63" s="650">
        <v>136.30000000000001</v>
      </c>
      <c r="E63" s="657">
        <v>135.4</v>
      </c>
      <c r="F63" s="652">
        <v>132.69999999999999</v>
      </c>
      <c r="G63" s="652">
        <v>129.4</v>
      </c>
      <c r="H63" s="652">
        <v>142.30000000000001</v>
      </c>
      <c r="I63" s="652">
        <v>138.6</v>
      </c>
      <c r="J63" s="652">
        <v>138.19999999999999</v>
      </c>
      <c r="K63" s="652">
        <v>138.4</v>
      </c>
      <c r="L63" s="652">
        <v>137.1</v>
      </c>
      <c r="M63" s="652">
        <v>140.80000000000001</v>
      </c>
      <c r="N63" s="652">
        <v>135.4</v>
      </c>
      <c r="O63" s="652">
        <v>133.1</v>
      </c>
      <c r="P63" s="652">
        <v>132.80000000000001</v>
      </c>
      <c r="Q63" s="655">
        <v>119</v>
      </c>
    </row>
    <row r="64" spans="1:18" ht="15.75" x14ac:dyDescent="0.25">
      <c r="B64" s="634" t="s">
        <v>169</v>
      </c>
      <c r="C64" s="686" t="s">
        <v>192</v>
      </c>
      <c r="D64" s="687" t="s">
        <v>193</v>
      </c>
      <c r="E64" s="688" t="s">
        <v>194</v>
      </c>
      <c r="F64" s="652" t="s">
        <v>195</v>
      </c>
      <c r="G64" s="652" t="s">
        <v>196</v>
      </c>
      <c r="H64" s="652" t="s">
        <v>197</v>
      </c>
      <c r="I64" s="652" t="s">
        <v>198</v>
      </c>
      <c r="J64" s="652" t="s">
        <v>199</v>
      </c>
      <c r="K64" s="652" t="s">
        <v>200</v>
      </c>
      <c r="L64" s="652" t="s">
        <v>201</v>
      </c>
      <c r="M64" s="652" t="s">
        <v>202</v>
      </c>
      <c r="N64" s="652" t="s">
        <v>203</v>
      </c>
      <c r="O64" s="652" t="s">
        <v>204</v>
      </c>
      <c r="P64" s="652" t="s">
        <v>205</v>
      </c>
      <c r="Q64" s="687" t="s">
        <v>206</v>
      </c>
    </row>
    <row r="65" spans="1:18" ht="15.75" x14ac:dyDescent="0.25">
      <c r="B65" s="634" t="s">
        <v>170</v>
      </c>
      <c r="C65" s="650">
        <v>114.8</v>
      </c>
      <c r="D65" s="655">
        <v>140.80000000000001</v>
      </c>
      <c r="E65" s="657">
        <v>141.6</v>
      </c>
      <c r="F65" s="665">
        <v>132.69999999999999</v>
      </c>
      <c r="G65" s="665">
        <v>132.1</v>
      </c>
      <c r="H65" s="665">
        <v>150.1</v>
      </c>
      <c r="I65" s="665">
        <v>141.5</v>
      </c>
      <c r="J65" s="665">
        <v>142.30000000000001</v>
      </c>
      <c r="K65" s="665">
        <v>139.69999999999999</v>
      </c>
      <c r="L65" s="665">
        <v>139.5</v>
      </c>
      <c r="M65" s="665">
        <v>142.1</v>
      </c>
      <c r="N65" s="665">
        <v>136.6</v>
      </c>
      <c r="O65" s="665">
        <v>135</v>
      </c>
      <c r="P65" s="665">
        <v>134.9</v>
      </c>
      <c r="Q65" s="655">
        <v>118.2</v>
      </c>
    </row>
    <row r="66" spans="1:18" ht="15.75" x14ac:dyDescent="0.25">
      <c r="B66" s="634" t="s">
        <v>171</v>
      </c>
      <c r="C66" s="650">
        <v>114.9</v>
      </c>
      <c r="D66" s="655">
        <v>141.9</v>
      </c>
      <c r="E66" s="657">
        <v>142.19999999999999</v>
      </c>
      <c r="F66" s="665">
        <v>134</v>
      </c>
      <c r="G66" s="665">
        <v>132.80000000000001</v>
      </c>
      <c r="H66" s="665">
        <v>151.5</v>
      </c>
      <c r="I66" s="665">
        <v>142.69999999999999</v>
      </c>
      <c r="J66" s="665">
        <v>142.9</v>
      </c>
      <c r="K66" s="665">
        <v>140.9</v>
      </c>
      <c r="L66" s="665">
        <v>139.69999999999999</v>
      </c>
      <c r="M66" s="665">
        <v>144.5</v>
      </c>
      <c r="N66" s="665">
        <v>137.69999999999999</v>
      </c>
      <c r="O66" s="665">
        <v>135.9</v>
      </c>
      <c r="P66" s="665">
        <v>135.6</v>
      </c>
      <c r="Q66" s="655">
        <v>122</v>
      </c>
    </row>
    <row r="67" spans="1:18" ht="15.75" x14ac:dyDescent="0.25">
      <c r="B67" s="634" t="s">
        <v>172</v>
      </c>
      <c r="C67" s="650">
        <v>115.1</v>
      </c>
      <c r="D67" s="655">
        <v>142.5</v>
      </c>
      <c r="E67" s="657">
        <v>141.6</v>
      </c>
      <c r="F67" s="665">
        <v>134.1</v>
      </c>
      <c r="G67" s="665">
        <v>132</v>
      </c>
      <c r="H67" s="665">
        <v>151.4</v>
      </c>
      <c r="I67" s="665">
        <v>143.69999999999999</v>
      </c>
      <c r="J67" s="665">
        <v>142.80000000000001</v>
      </c>
      <c r="K67" s="665">
        <v>142.19999999999999</v>
      </c>
      <c r="L67" s="665">
        <v>139.1</v>
      </c>
      <c r="M67" s="665">
        <v>147.9</v>
      </c>
      <c r="N67" s="665">
        <v>137.4</v>
      </c>
      <c r="O67" s="665">
        <v>135.9</v>
      </c>
      <c r="P67" s="665">
        <v>135.19999999999999</v>
      </c>
      <c r="Q67" s="655">
        <v>126.5</v>
      </c>
    </row>
    <row r="68" spans="1:18" ht="15.75" x14ac:dyDescent="0.25">
      <c r="B68" s="634" t="s">
        <v>173</v>
      </c>
      <c r="C68" s="655">
        <v>115.2</v>
      </c>
      <c r="D68" s="655">
        <v>143.69999999999999</v>
      </c>
      <c r="E68" s="657">
        <v>142.5</v>
      </c>
      <c r="F68" s="665">
        <v>136.19999999999999</v>
      </c>
      <c r="G68" s="665">
        <v>133</v>
      </c>
      <c r="H68" s="665">
        <v>151.69999999999999</v>
      </c>
      <c r="I68" s="665">
        <v>143.6</v>
      </c>
      <c r="J68" s="665">
        <v>142.1</v>
      </c>
      <c r="K68" s="665">
        <v>142.9</v>
      </c>
      <c r="L68" s="665">
        <v>138.9</v>
      </c>
      <c r="M68" s="665">
        <v>149.4</v>
      </c>
      <c r="N68" s="665">
        <v>137.1</v>
      </c>
      <c r="O68" s="665">
        <v>139.4</v>
      </c>
      <c r="P68" s="665">
        <v>138.6</v>
      </c>
      <c r="Q68" s="655">
        <v>125.3</v>
      </c>
    </row>
    <row r="69" spans="1:18" ht="15.75" x14ac:dyDescent="0.25">
      <c r="B69" s="634" t="s">
        <v>174</v>
      </c>
      <c r="C69" s="655">
        <v>115.3</v>
      </c>
      <c r="D69" s="655">
        <v>144.80000000000001</v>
      </c>
      <c r="E69" s="657">
        <v>142.19999999999999</v>
      </c>
      <c r="F69" s="665">
        <v>137.6</v>
      </c>
      <c r="G69" s="665">
        <v>132.4</v>
      </c>
      <c r="H69" s="665">
        <v>152</v>
      </c>
      <c r="I69" s="665">
        <v>145.30000000000001</v>
      </c>
      <c r="J69" s="665">
        <v>142.6</v>
      </c>
      <c r="K69" s="665">
        <v>145</v>
      </c>
      <c r="L69" s="665">
        <v>139.19999999999999</v>
      </c>
      <c r="M69" s="665">
        <v>153.5</v>
      </c>
      <c r="N69" s="665">
        <v>137.19999999999999</v>
      </c>
      <c r="O69" s="665">
        <v>140</v>
      </c>
      <c r="P69" s="665">
        <v>138.80000000000001</v>
      </c>
      <c r="Q69" s="655">
        <v>127.2</v>
      </c>
    </row>
    <row r="70" spans="1:18" ht="15.75" x14ac:dyDescent="0.25">
      <c r="B70" s="634" t="s">
        <v>175</v>
      </c>
      <c r="C70" s="655">
        <v>115.5</v>
      </c>
      <c r="D70" s="655">
        <v>147.69999999999999</v>
      </c>
      <c r="E70" s="657">
        <v>143</v>
      </c>
      <c r="F70" s="665">
        <v>140.6</v>
      </c>
      <c r="G70" s="665">
        <v>133.30000000000001</v>
      </c>
      <c r="H70" s="665">
        <v>152.5</v>
      </c>
      <c r="I70" s="665">
        <v>147.5</v>
      </c>
      <c r="J70" s="665">
        <v>142.80000000000001</v>
      </c>
      <c r="K70" s="665">
        <v>148.69999999999999</v>
      </c>
      <c r="L70" s="665">
        <v>139.30000000000001</v>
      </c>
      <c r="M70" s="665">
        <v>161.19999999999999</v>
      </c>
      <c r="N70" s="665">
        <v>137.9</v>
      </c>
      <c r="O70" s="665">
        <v>141</v>
      </c>
      <c r="P70" s="665">
        <v>139.1</v>
      </c>
      <c r="Q70" s="655">
        <v>139.4</v>
      </c>
    </row>
    <row r="71" spans="1:18" ht="15.75" x14ac:dyDescent="0.25">
      <c r="B71" s="634" t="s">
        <v>176</v>
      </c>
      <c r="C71" s="655">
        <v>115.7</v>
      </c>
      <c r="D71" s="655">
        <v>147.5</v>
      </c>
      <c r="E71" s="657">
        <v>143.19999999999999</v>
      </c>
      <c r="F71" s="665">
        <v>140.1</v>
      </c>
      <c r="G71" s="665">
        <v>133.5</v>
      </c>
      <c r="H71" s="665">
        <v>153.6</v>
      </c>
      <c r="I71" s="665">
        <v>149.19999999999999</v>
      </c>
      <c r="J71" s="665">
        <v>144.9</v>
      </c>
      <c r="K71" s="665">
        <v>149.5</v>
      </c>
      <c r="L71" s="665">
        <v>141</v>
      </c>
      <c r="M71" s="665">
        <v>160.4</v>
      </c>
      <c r="N71" s="665">
        <v>138.69999999999999</v>
      </c>
      <c r="O71" s="665">
        <v>142.5</v>
      </c>
      <c r="P71" s="665">
        <v>140.69999999999999</v>
      </c>
      <c r="Q71" s="655">
        <v>145.5</v>
      </c>
    </row>
    <row r="74" spans="1:18" ht="39" thickBot="1" x14ac:dyDescent="0.3">
      <c r="C74" s="680" t="s">
        <v>215</v>
      </c>
      <c r="D74" s="794" t="s">
        <v>218</v>
      </c>
      <c r="E74" s="795"/>
      <c r="F74" s="795"/>
      <c r="G74" s="795"/>
      <c r="H74" s="795"/>
      <c r="I74" s="795"/>
      <c r="J74" s="795"/>
      <c r="K74" s="795"/>
      <c r="L74" s="795"/>
      <c r="M74" s="795"/>
      <c r="N74" s="795"/>
      <c r="O74" s="795"/>
      <c r="P74" s="795"/>
      <c r="Q74" s="638" t="s">
        <v>181</v>
      </c>
    </row>
    <row r="75" spans="1:18" ht="102" x14ac:dyDescent="0.25">
      <c r="A75" s="745" t="s">
        <v>214</v>
      </c>
      <c r="B75" s="796"/>
      <c r="C75" s="681" t="s">
        <v>157</v>
      </c>
      <c r="D75" s="682" t="s">
        <v>151</v>
      </c>
      <c r="E75" s="682" t="s">
        <v>156</v>
      </c>
      <c r="F75" s="682" t="s">
        <v>152</v>
      </c>
      <c r="G75" s="682" t="s">
        <v>153</v>
      </c>
      <c r="H75" s="682" t="s">
        <v>158</v>
      </c>
      <c r="I75" s="682" t="s">
        <v>159</v>
      </c>
      <c r="J75" s="682" t="s">
        <v>160</v>
      </c>
      <c r="K75" s="682" t="s">
        <v>161</v>
      </c>
      <c r="L75" s="682" t="s">
        <v>162</v>
      </c>
      <c r="M75" s="682" t="s">
        <v>163</v>
      </c>
      <c r="N75" s="682" t="s">
        <v>164</v>
      </c>
      <c r="O75" s="682" t="s">
        <v>177</v>
      </c>
      <c r="P75" s="682" t="s">
        <v>178</v>
      </c>
      <c r="Q75" s="684" t="s">
        <v>190</v>
      </c>
      <c r="R75" s="683" t="s">
        <v>191</v>
      </c>
    </row>
    <row r="76" spans="1:18" ht="55.5" customHeight="1" thickBot="1" x14ac:dyDescent="0.3">
      <c r="A76" s="797" t="s">
        <v>220</v>
      </c>
      <c r="B76" s="798"/>
      <c r="C76" s="698">
        <v>1.157</v>
      </c>
      <c r="D76" s="699">
        <v>1.4750000000000001</v>
      </c>
      <c r="E76" s="699">
        <v>1.4319999999999999</v>
      </c>
      <c r="F76" s="699">
        <v>1.401</v>
      </c>
      <c r="G76" s="699">
        <v>1.335</v>
      </c>
      <c r="H76" s="699">
        <v>1.536</v>
      </c>
      <c r="I76" s="699">
        <v>1.492</v>
      </c>
      <c r="J76" s="699">
        <v>1.4490000000000001</v>
      </c>
      <c r="K76" s="699">
        <v>1.4950000000000001</v>
      </c>
      <c r="L76" s="699">
        <v>1.41</v>
      </c>
      <c r="M76" s="699">
        <v>1.6040000000000001</v>
      </c>
      <c r="N76" s="699">
        <v>1.3869999999999998</v>
      </c>
      <c r="O76" s="699">
        <v>1.425</v>
      </c>
      <c r="P76" s="699">
        <v>1.4069999999999998</v>
      </c>
      <c r="Q76" s="700"/>
    </row>
    <row r="77" spans="1:18" ht="15.75" x14ac:dyDescent="0.25">
      <c r="B77" s="634" t="s">
        <v>165</v>
      </c>
      <c r="C77" s="643">
        <v>104.8</v>
      </c>
      <c r="D77" s="643">
        <v>103</v>
      </c>
      <c r="E77" s="645">
        <v>103.9</v>
      </c>
      <c r="F77" s="643">
        <v>103.5</v>
      </c>
      <c r="G77" s="643">
        <v>104.8</v>
      </c>
      <c r="H77" s="643">
        <v>103.9</v>
      </c>
      <c r="I77" s="643">
        <v>103.4</v>
      </c>
      <c r="J77" s="643">
        <v>104.8</v>
      </c>
      <c r="K77" s="643">
        <v>103.4</v>
      </c>
      <c r="L77" s="643">
        <v>105.9</v>
      </c>
      <c r="M77" s="643">
        <v>100.7</v>
      </c>
      <c r="N77" s="643">
        <v>106.5</v>
      </c>
      <c r="O77" s="643">
        <v>104.2</v>
      </c>
      <c r="P77" s="643">
        <v>104.8</v>
      </c>
      <c r="Q77" s="678">
        <v>139.80000000000001</v>
      </c>
    </row>
    <row r="78" spans="1:18" ht="15.75" x14ac:dyDescent="0.25">
      <c r="B78" s="634" t="s">
        <v>166</v>
      </c>
      <c r="C78" s="602">
        <v>105</v>
      </c>
      <c r="D78" s="602">
        <v>103.7</v>
      </c>
      <c r="E78" s="707">
        <v>103.7</v>
      </c>
      <c r="F78" s="611">
        <v>104.2</v>
      </c>
      <c r="G78" s="611">
        <v>104.5</v>
      </c>
      <c r="H78" s="611">
        <v>103.1</v>
      </c>
      <c r="I78" s="611">
        <v>103.1</v>
      </c>
      <c r="J78" s="611">
        <v>103.3</v>
      </c>
      <c r="K78" s="611">
        <v>103.5</v>
      </c>
      <c r="L78" s="611">
        <v>104.1</v>
      </c>
      <c r="M78" s="611">
        <v>103</v>
      </c>
      <c r="N78" s="611">
        <v>104.7</v>
      </c>
      <c r="O78" s="611">
        <v>103.4</v>
      </c>
      <c r="P78" s="611">
        <v>103.5</v>
      </c>
      <c r="Q78" s="602">
        <v>146.4</v>
      </c>
    </row>
    <row r="79" spans="1:18" ht="15.75" x14ac:dyDescent="0.25">
      <c r="B79" s="634" t="s">
        <v>167</v>
      </c>
      <c r="C79" s="652">
        <v>106.7</v>
      </c>
      <c r="D79" s="652">
        <v>104.5</v>
      </c>
      <c r="E79" s="653">
        <v>103.7</v>
      </c>
      <c r="F79" s="652">
        <v>105.3</v>
      </c>
      <c r="G79" s="652">
        <v>104.5</v>
      </c>
      <c r="H79" s="652">
        <v>102.9</v>
      </c>
      <c r="I79" s="652">
        <v>103.2</v>
      </c>
      <c r="J79" s="652">
        <v>102.4</v>
      </c>
      <c r="K79" s="652">
        <v>104.2</v>
      </c>
      <c r="L79" s="652">
        <v>103.1</v>
      </c>
      <c r="M79" s="652">
        <v>105.6</v>
      </c>
      <c r="N79" s="652">
        <v>104</v>
      </c>
      <c r="O79" s="652">
        <v>103.7</v>
      </c>
      <c r="P79" s="652">
        <v>103.4</v>
      </c>
      <c r="Q79" s="652">
        <v>158.4</v>
      </c>
    </row>
    <row r="80" spans="1:18" ht="15.75" x14ac:dyDescent="0.25">
      <c r="B80" s="634" t="s">
        <v>168</v>
      </c>
      <c r="C80" s="650">
        <v>106.7</v>
      </c>
      <c r="D80" s="650">
        <v>107.5</v>
      </c>
      <c r="E80" s="657">
        <v>106.4</v>
      </c>
      <c r="F80" s="652">
        <v>109.8</v>
      </c>
      <c r="G80" s="652">
        <v>105.6</v>
      </c>
      <c r="H80" s="652">
        <v>107.1</v>
      </c>
      <c r="I80" s="652">
        <v>108.6</v>
      </c>
      <c r="J80" s="652">
        <v>104.89</v>
      </c>
      <c r="K80" s="652">
        <v>110.9</v>
      </c>
      <c r="L80" s="652">
        <v>104.8</v>
      </c>
      <c r="M80" s="652">
        <v>118.1</v>
      </c>
      <c r="N80" s="652">
        <v>105.2</v>
      </c>
      <c r="O80" s="652">
        <v>106.6</v>
      </c>
      <c r="P80" s="652">
        <v>105.4</v>
      </c>
      <c r="Q80" s="655">
        <v>171.7</v>
      </c>
    </row>
    <row r="81" spans="2:17" ht="15.75" x14ac:dyDescent="0.25">
      <c r="B81" s="634" t="s">
        <v>169</v>
      </c>
      <c r="C81" s="686">
        <v>107.1</v>
      </c>
      <c r="D81" s="687">
        <v>109.8</v>
      </c>
      <c r="E81" s="688">
        <v>107.9</v>
      </c>
      <c r="F81" s="652">
        <v>112.2</v>
      </c>
      <c r="G81" s="652">
        <v>107.4</v>
      </c>
      <c r="H81" s="652">
        <v>108.2</v>
      </c>
      <c r="I81" s="652">
        <v>110.2</v>
      </c>
      <c r="J81" s="652">
        <v>105.9</v>
      </c>
      <c r="K81" s="652">
        <v>112.9</v>
      </c>
      <c r="L81" s="652">
        <v>105.7</v>
      </c>
      <c r="M81" s="652">
        <v>121.3</v>
      </c>
      <c r="N81" s="652">
        <v>106.5</v>
      </c>
      <c r="O81" s="652">
        <v>108</v>
      </c>
      <c r="P81" s="652">
        <v>106.5</v>
      </c>
      <c r="Q81" s="687">
        <v>179.4</v>
      </c>
    </row>
    <row r="82" spans="2:17" ht="15.75" x14ac:dyDescent="0.25">
      <c r="B82" s="634" t="s">
        <v>170</v>
      </c>
      <c r="C82" s="650">
        <v>107.5</v>
      </c>
      <c r="D82" s="655">
        <v>111.1</v>
      </c>
      <c r="E82" s="657">
        <v>109.3</v>
      </c>
      <c r="F82" s="665">
        <v>116.8</v>
      </c>
      <c r="G82" s="665">
        <v>109.2</v>
      </c>
      <c r="H82" s="665">
        <v>109.8</v>
      </c>
      <c r="I82" s="665">
        <v>113.8</v>
      </c>
      <c r="J82" s="665">
        <v>107.8</v>
      </c>
      <c r="K82" s="665">
        <v>117.8</v>
      </c>
      <c r="L82" s="665">
        <v>108.1</v>
      </c>
      <c r="M82" s="665">
        <v>128.5</v>
      </c>
      <c r="N82" s="665">
        <v>108.7</v>
      </c>
      <c r="O82" s="665">
        <v>110.5</v>
      </c>
      <c r="P82" s="665">
        <v>108.4</v>
      </c>
      <c r="Q82" s="655">
        <v>188.3</v>
      </c>
    </row>
    <row r="83" spans="2:17" ht="15.75" x14ac:dyDescent="0.25">
      <c r="B83" s="634" t="s">
        <v>171</v>
      </c>
      <c r="C83" s="650">
        <v>109.1</v>
      </c>
      <c r="D83" s="655">
        <v>112.2</v>
      </c>
      <c r="E83" s="657">
        <v>110</v>
      </c>
      <c r="F83" s="665">
        <v>119</v>
      </c>
      <c r="G83" s="665">
        <v>110.1</v>
      </c>
      <c r="H83" s="665">
        <v>110</v>
      </c>
      <c r="I83" s="665">
        <v>114.7</v>
      </c>
      <c r="J83" s="665">
        <v>107.5</v>
      </c>
      <c r="K83" s="665">
        <v>119.7</v>
      </c>
      <c r="L83" s="665">
        <v>108</v>
      </c>
      <c r="M83" s="665">
        <v>133</v>
      </c>
      <c r="N83" s="665">
        <v>109.4</v>
      </c>
      <c r="O83" s="665">
        <v>110.7</v>
      </c>
      <c r="P83" s="665">
        <v>108.2</v>
      </c>
      <c r="Q83" s="655">
        <v>207.3</v>
      </c>
    </row>
    <row r="84" spans="2:17" ht="15.75" x14ac:dyDescent="0.25">
      <c r="B84" s="634" t="s">
        <v>172</v>
      </c>
      <c r="C84" s="650"/>
      <c r="D84" s="655"/>
      <c r="E84" s="657"/>
      <c r="F84" s="665"/>
      <c r="G84" s="665"/>
      <c r="H84" s="665"/>
      <c r="I84" s="665"/>
      <c r="J84" s="665"/>
      <c r="K84" s="665"/>
      <c r="L84" s="665"/>
      <c r="M84" s="665"/>
      <c r="N84" s="665"/>
      <c r="O84" s="665"/>
      <c r="P84" s="665"/>
      <c r="Q84" s="655"/>
    </row>
    <row r="85" spans="2:17" ht="15.75" x14ac:dyDescent="0.25">
      <c r="B85" s="634" t="s">
        <v>173</v>
      </c>
      <c r="C85" s="655"/>
      <c r="D85" s="655"/>
      <c r="E85" s="657"/>
      <c r="F85" s="665"/>
      <c r="G85" s="665"/>
      <c r="H85" s="665"/>
      <c r="I85" s="665"/>
      <c r="J85" s="665"/>
      <c r="K85" s="665"/>
      <c r="L85" s="665"/>
      <c r="M85" s="665"/>
      <c r="N85" s="665"/>
      <c r="O85" s="665"/>
      <c r="P85" s="665"/>
      <c r="Q85" s="655"/>
    </row>
    <row r="86" spans="2:17" ht="15.75" x14ac:dyDescent="0.25">
      <c r="B86" s="634" t="s">
        <v>174</v>
      </c>
      <c r="C86" s="655"/>
      <c r="D86" s="655"/>
      <c r="E86" s="657"/>
      <c r="F86" s="665"/>
      <c r="G86" s="665"/>
      <c r="H86" s="665"/>
      <c r="I86" s="665"/>
      <c r="J86" s="665"/>
      <c r="K86" s="665"/>
      <c r="L86" s="665"/>
      <c r="M86" s="665"/>
      <c r="N86" s="665"/>
      <c r="O86" s="665"/>
      <c r="P86" s="665"/>
      <c r="Q86" s="655"/>
    </row>
    <row r="87" spans="2:17" ht="15.75" x14ac:dyDescent="0.25">
      <c r="B87" s="634" t="s">
        <v>175</v>
      </c>
      <c r="C87" s="655"/>
      <c r="D87" s="655"/>
      <c r="E87" s="657"/>
      <c r="F87" s="665"/>
      <c r="G87" s="665"/>
      <c r="H87" s="665"/>
      <c r="I87" s="665"/>
      <c r="J87" s="665"/>
      <c r="K87" s="665"/>
      <c r="L87" s="665"/>
      <c r="M87" s="665"/>
      <c r="N87" s="665"/>
      <c r="O87" s="665"/>
      <c r="P87" s="665"/>
      <c r="Q87" s="655"/>
    </row>
    <row r="88" spans="2:17" ht="15.75" x14ac:dyDescent="0.25">
      <c r="B88" s="634" t="s">
        <v>176</v>
      </c>
      <c r="C88" s="655"/>
      <c r="D88" s="655"/>
      <c r="E88" s="657"/>
      <c r="F88" s="665"/>
      <c r="G88" s="665"/>
      <c r="H88" s="665"/>
      <c r="I88" s="665"/>
      <c r="J88" s="665"/>
      <c r="K88" s="665"/>
      <c r="L88" s="665"/>
      <c r="M88" s="665"/>
      <c r="N88" s="665"/>
      <c r="O88" s="665"/>
      <c r="P88" s="665"/>
      <c r="Q88" s="655"/>
    </row>
  </sheetData>
  <mergeCells count="14">
    <mergeCell ref="C1:Q1"/>
    <mergeCell ref="C20:Q20"/>
    <mergeCell ref="D21:P21"/>
    <mergeCell ref="C39:Q39"/>
    <mergeCell ref="A41:B42"/>
    <mergeCell ref="A22:B23"/>
    <mergeCell ref="A3:B4"/>
    <mergeCell ref="D40:P40"/>
    <mergeCell ref="D2:P2"/>
    <mergeCell ref="D74:P74"/>
    <mergeCell ref="A75:B75"/>
    <mergeCell ref="A76:B76"/>
    <mergeCell ref="D57:P57"/>
    <mergeCell ref="A58:B5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48"/>
  <sheetViews>
    <sheetView topLeftCell="A118" zoomScale="60" zoomScaleNormal="60" zoomScaleSheetLayoutView="100" workbookViewId="0">
      <selection activeCell="C152" sqref="C152"/>
    </sheetView>
  </sheetViews>
  <sheetFormatPr defaultColWidth="9.140625" defaultRowHeight="18" customHeight="1" x14ac:dyDescent="0.25"/>
  <cols>
    <col min="1" max="2" width="1.28515625" style="433" customWidth="1"/>
    <col min="3" max="12" width="15.5703125" style="433" customWidth="1"/>
    <col min="13" max="13" width="1.28515625" style="433" customWidth="1"/>
    <col min="14" max="14" width="18" style="433" customWidth="1"/>
    <col min="15" max="16384" width="9.140625" style="433"/>
  </cols>
  <sheetData>
    <row r="1" spans="1:15" ht="7.5" customHeight="1" x14ac:dyDescent="0.25">
      <c r="A1" s="431"/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2"/>
    </row>
    <row r="2" spans="1:15" ht="18" customHeight="1" x14ac:dyDescent="0.25">
      <c r="A2" s="431"/>
      <c r="B2" s="431"/>
      <c r="C2" s="434" t="s">
        <v>149</v>
      </c>
      <c r="D2" s="431"/>
      <c r="E2" s="431"/>
      <c r="F2" s="431"/>
      <c r="G2" s="431"/>
      <c r="H2" s="431"/>
      <c r="I2" s="431"/>
      <c r="J2" s="431"/>
      <c r="K2" s="431"/>
      <c r="L2" s="435" t="s">
        <v>140</v>
      </c>
      <c r="M2" s="431"/>
      <c r="N2" s="432"/>
    </row>
    <row r="3" spans="1:15" ht="6" customHeight="1" thickBot="1" x14ac:dyDescent="0.3">
      <c r="A3" s="431"/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2"/>
    </row>
    <row r="4" spans="1:15" ht="18" customHeight="1" x14ac:dyDescent="0.25">
      <c r="A4" s="431"/>
      <c r="B4" s="431"/>
      <c r="C4" s="436" t="s">
        <v>71</v>
      </c>
      <c r="D4" s="437"/>
      <c r="E4" s="438"/>
      <c r="F4" s="438"/>
      <c r="G4" s="439"/>
      <c r="H4" s="438"/>
      <c r="I4" s="802" t="s">
        <v>113</v>
      </c>
      <c r="J4" s="803"/>
      <c r="K4" s="803"/>
      <c r="L4" s="804"/>
      <c r="M4" s="431"/>
      <c r="N4" s="432"/>
    </row>
    <row r="5" spans="1:15" ht="18" customHeight="1" thickBot="1" x14ac:dyDescent="0.3">
      <c r="A5" s="431"/>
      <c r="B5" s="431"/>
      <c r="C5" s="440" t="s">
        <v>52</v>
      </c>
      <c r="D5" s="431"/>
      <c r="E5" s="434"/>
      <c r="F5" s="434"/>
      <c r="G5" s="441"/>
      <c r="H5" s="613"/>
      <c r="I5" s="805"/>
      <c r="J5" s="806"/>
      <c r="K5" s="806"/>
      <c r="L5" s="807"/>
      <c r="M5" s="431"/>
      <c r="N5" s="432"/>
    </row>
    <row r="6" spans="1:15" ht="6" hidden="1" customHeight="1" thickBot="1" x14ac:dyDescent="0.3">
      <c r="A6" s="431"/>
      <c r="B6" s="431"/>
      <c r="C6" s="442"/>
      <c r="D6" s="442"/>
      <c r="E6" s="442"/>
      <c r="F6" s="442"/>
      <c r="G6" s="442"/>
      <c r="H6" s="442"/>
      <c r="I6" s="442"/>
      <c r="J6" s="442"/>
      <c r="K6" s="442"/>
      <c r="L6" s="442"/>
      <c r="M6" s="431"/>
      <c r="N6" s="432"/>
    </row>
    <row r="7" spans="1:15" s="456" customFormat="1" ht="28.5" hidden="1" customHeight="1" thickBot="1" x14ac:dyDescent="0.3">
      <c r="A7" s="443"/>
      <c r="B7" s="447"/>
      <c r="C7" s="448">
        <v>2.2719999999999998</v>
      </c>
      <c r="D7" s="449">
        <v>2.89</v>
      </c>
      <c r="E7" s="449">
        <v>3.22</v>
      </c>
      <c r="F7" s="450">
        <v>4.149</v>
      </c>
      <c r="G7" s="450">
        <v>1.909</v>
      </c>
      <c r="H7" s="450"/>
      <c r="I7" s="450">
        <v>2.1960000000000002</v>
      </c>
      <c r="J7" s="451">
        <v>1.992</v>
      </c>
      <c r="K7" s="452">
        <v>4.24</v>
      </c>
      <c r="L7" s="451">
        <v>4.2050000000000001</v>
      </c>
      <c r="M7" s="453"/>
      <c r="N7" s="454"/>
      <c r="O7" s="455"/>
    </row>
    <row r="8" spans="1:15" ht="6" customHeight="1" thickBot="1" x14ac:dyDescent="0.3">
      <c r="A8" s="431"/>
      <c r="B8" s="431"/>
      <c r="C8" s="457"/>
      <c r="D8" s="457"/>
      <c r="E8" s="457"/>
      <c r="F8" s="457"/>
      <c r="G8" s="457"/>
      <c r="H8" s="457"/>
      <c r="I8" s="457"/>
      <c r="J8" s="457"/>
      <c r="K8" s="457"/>
      <c r="L8" s="457"/>
      <c r="M8" s="431"/>
      <c r="N8" s="432"/>
    </row>
    <row r="9" spans="1:15" ht="18" customHeight="1" thickBot="1" x14ac:dyDescent="0.3">
      <c r="A9" s="431"/>
      <c r="B9" s="461"/>
      <c r="C9" s="458" t="s">
        <v>129</v>
      </c>
      <c r="D9" s="462"/>
      <c r="E9" s="462"/>
      <c r="F9" s="459"/>
      <c r="G9" s="459"/>
      <c r="H9" s="459"/>
      <c r="I9" s="459"/>
      <c r="J9" s="459"/>
      <c r="K9" s="459"/>
      <c r="L9" s="460"/>
      <c r="M9" s="431"/>
      <c r="N9" s="432"/>
    </row>
    <row r="10" spans="1:15" ht="6" customHeight="1" thickBot="1" x14ac:dyDescent="0.3">
      <c r="A10" s="431"/>
      <c r="B10" s="431"/>
      <c r="C10" s="442"/>
      <c r="D10" s="442"/>
      <c r="E10" s="442"/>
      <c r="F10" s="442"/>
      <c r="G10" s="442"/>
      <c r="H10" s="442"/>
      <c r="I10" s="442"/>
      <c r="J10" s="442"/>
      <c r="K10" s="442"/>
      <c r="L10" s="442"/>
      <c r="M10" s="431"/>
      <c r="N10" s="432"/>
    </row>
    <row r="11" spans="1:15" ht="18" customHeight="1" thickBot="1" x14ac:dyDescent="0.3">
      <c r="A11" s="431"/>
      <c r="B11" s="467"/>
      <c r="C11" s="468">
        <v>0.87565674255691806</v>
      </c>
      <c r="D11" s="469">
        <v>0.84317032040472195</v>
      </c>
      <c r="E11" s="470">
        <v>0.97276264591439698</v>
      </c>
      <c r="F11" s="471">
        <v>0.98135426889107003</v>
      </c>
      <c r="G11" s="472">
        <v>0.76923076923076905</v>
      </c>
      <c r="H11" s="472"/>
      <c r="I11" s="473">
        <v>0.79302141157811301</v>
      </c>
      <c r="J11" s="474">
        <v>0.85251491901108301</v>
      </c>
      <c r="K11" s="475">
        <v>0.974658869395712</v>
      </c>
      <c r="L11" s="476">
        <v>0.98814229249011898</v>
      </c>
      <c r="M11" s="431"/>
      <c r="N11" s="432"/>
    </row>
    <row r="12" spans="1:15" ht="6" customHeight="1" thickBot="1" x14ac:dyDescent="0.3">
      <c r="A12" s="431"/>
      <c r="B12" s="431"/>
      <c r="C12" s="442"/>
      <c r="D12" s="442"/>
      <c r="E12" s="442"/>
      <c r="F12" s="442"/>
      <c r="G12" s="442"/>
      <c r="H12" s="442"/>
      <c r="I12" s="442"/>
      <c r="J12" s="442"/>
      <c r="K12" s="442"/>
      <c r="L12" s="442"/>
      <c r="M12" s="431"/>
      <c r="N12" s="432"/>
    </row>
    <row r="13" spans="1:15" ht="18" customHeight="1" thickBot="1" x14ac:dyDescent="0.3">
      <c r="A13" s="431"/>
      <c r="B13" s="480"/>
      <c r="C13" s="481">
        <v>3</v>
      </c>
      <c r="D13" s="808">
        <v>4</v>
      </c>
      <c r="E13" s="809"/>
      <c r="F13" s="809"/>
      <c r="G13" s="809"/>
      <c r="H13" s="809"/>
      <c r="I13" s="809"/>
      <c r="J13" s="809"/>
      <c r="K13" s="809"/>
      <c r="L13" s="810"/>
      <c r="M13" s="431"/>
      <c r="N13" s="432"/>
    </row>
    <row r="14" spans="1:15" ht="18" customHeight="1" thickBot="1" x14ac:dyDescent="0.3">
      <c r="A14" s="431"/>
      <c r="B14" s="482"/>
      <c r="C14" s="831" t="s">
        <v>87</v>
      </c>
      <c r="D14" s="819" t="s">
        <v>88</v>
      </c>
      <c r="E14" s="821" t="s">
        <v>89</v>
      </c>
      <c r="F14" s="823" t="s">
        <v>114</v>
      </c>
      <c r="G14" s="825" t="s">
        <v>91</v>
      </c>
      <c r="H14" s="597"/>
      <c r="I14" s="827" t="s">
        <v>92</v>
      </c>
      <c r="J14" s="829" t="s">
        <v>93</v>
      </c>
      <c r="K14" s="817" t="s">
        <v>115</v>
      </c>
      <c r="L14" s="818"/>
      <c r="M14" s="431"/>
      <c r="N14" s="432"/>
    </row>
    <row r="15" spans="1:15" ht="18" customHeight="1" thickBot="1" x14ac:dyDescent="0.3">
      <c r="A15" s="431"/>
      <c r="B15" s="482"/>
      <c r="C15" s="832"/>
      <c r="D15" s="820"/>
      <c r="E15" s="822"/>
      <c r="F15" s="824"/>
      <c r="G15" s="826"/>
      <c r="H15" s="598"/>
      <c r="I15" s="828"/>
      <c r="J15" s="830"/>
      <c r="K15" s="483" t="s">
        <v>116</v>
      </c>
      <c r="L15" s="484" t="s">
        <v>117</v>
      </c>
      <c r="M15" s="431"/>
      <c r="N15" s="432"/>
    </row>
    <row r="16" spans="1:15" ht="18" customHeight="1" x14ac:dyDescent="0.25">
      <c r="A16" s="431"/>
      <c r="B16" s="490"/>
      <c r="C16" s="491">
        <f>ROUND('Table X12 Indices 2012=100'!N16*$C$11,1)</f>
        <v>70.900000000000006</v>
      </c>
      <c r="D16" s="492"/>
      <c r="E16" s="493"/>
      <c r="F16" s="494">
        <f>ROUND('Table X12 Indices 2012=100'!Q16*$F$11,1)</f>
        <v>72.5</v>
      </c>
      <c r="G16" s="495">
        <f>ROUND('Table X12 Indices 2012=100'!R16*$G$11,1)</f>
        <v>61.9</v>
      </c>
      <c r="H16" s="495"/>
      <c r="I16" s="496"/>
      <c r="J16" s="497"/>
      <c r="K16" s="498">
        <f>ROUND('Table X12 Indices 2012=100'!U16*$K$11,1)</f>
        <v>66.900000000000006</v>
      </c>
      <c r="L16" s="499">
        <f>ROUND('Table X12 Indices 2012=100'!V16*$L$11,1)</f>
        <v>66.900000000000006</v>
      </c>
      <c r="M16" s="431"/>
      <c r="N16" s="432"/>
    </row>
    <row r="17" spans="1:14" ht="18" customHeight="1" x14ac:dyDescent="0.25">
      <c r="A17" s="431"/>
      <c r="B17" s="490"/>
      <c r="C17" s="505">
        <f>ROUND('Table X12 Indices 2012=100'!N17*$C$11,1)</f>
        <v>72</v>
      </c>
      <c r="D17" s="506"/>
      <c r="E17" s="507"/>
      <c r="F17" s="508">
        <f>ROUND('Table X12 Indices 2012=100'!Q17*$F$11,1)</f>
        <v>76.599999999999994</v>
      </c>
      <c r="G17" s="509">
        <f>ROUND('Table X12 Indices 2012=100'!R17*$G$11,1)</f>
        <v>65</v>
      </c>
      <c r="H17" s="509"/>
      <c r="I17" s="510"/>
      <c r="J17" s="511"/>
      <c r="K17" s="512">
        <f>ROUND('Table X12 Indices 2012=100'!U17*$K$11,1)</f>
        <v>67.5</v>
      </c>
      <c r="L17" s="513">
        <f>ROUND('Table X12 Indices 2012=100'!V17*$L$11,1)</f>
        <v>67.599999999999994</v>
      </c>
      <c r="M17" s="431"/>
      <c r="N17" s="432"/>
    </row>
    <row r="18" spans="1:14" ht="18" customHeight="1" x14ac:dyDescent="0.25">
      <c r="A18" s="431"/>
      <c r="B18" s="490"/>
      <c r="C18" s="505">
        <f>ROUND('Table X12 Indices 2012=100'!N18*$C$11,1)</f>
        <v>72.400000000000006</v>
      </c>
      <c r="D18" s="510"/>
      <c r="E18" s="514"/>
      <c r="F18" s="508">
        <f>ROUND('Table X12 Indices 2012=100'!Q18*$F$11,1)</f>
        <v>87.6</v>
      </c>
      <c r="G18" s="509">
        <f>ROUND('Table X12 Indices 2012=100'!R18*$G$11,1)</f>
        <v>65</v>
      </c>
      <c r="H18" s="509"/>
      <c r="I18" s="510"/>
      <c r="J18" s="511"/>
      <c r="K18" s="512">
        <f>ROUND('Table X12 Indices 2012=100'!U18*$K$11,1)</f>
        <v>74.7</v>
      </c>
      <c r="L18" s="513">
        <f>ROUND('Table X12 Indices 2012=100'!V18*$L$11,1)</f>
        <v>74.900000000000006</v>
      </c>
      <c r="M18" s="431"/>
      <c r="N18" s="432"/>
    </row>
    <row r="19" spans="1:14" ht="18" customHeight="1" x14ac:dyDescent="0.25">
      <c r="A19" s="431"/>
      <c r="B19" s="490"/>
      <c r="C19" s="505">
        <f>ROUND('Table X12 Indices 2012=100'!N19*$C$11,1)</f>
        <v>73.599999999999994</v>
      </c>
      <c r="D19" s="510"/>
      <c r="E19" s="514"/>
      <c r="F19" s="508">
        <f>ROUND('Table X12 Indices 2012=100'!Q19*$F$11,1)</f>
        <v>101.3</v>
      </c>
      <c r="G19" s="509">
        <f>ROUND('Table X12 Indices 2012=100'!R19*$G$11,1)</f>
        <v>65</v>
      </c>
      <c r="H19" s="509"/>
      <c r="I19" s="510"/>
      <c r="J19" s="511"/>
      <c r="K19" s="512">
        <f>ROUND('Table X12 Indices 2012=100'!U19*$K$11,1)</f>
        <v>86.6</v>
      </c>
      <c r="L19" s="513">
        <f>ROUND('Table X12 Indices 2012=100'!V19*$L$11,1)</f>
        <v>87</v>
      </c>
      <c r="M19" s="431"/>
      <c r="N19" s="432"/>
    </row>
    <row r="20" spans="1:14" ht="18" customHeight="1" x14ac:dyDescent="0.25">
      <c r="A20" s="431"/>
      <c r="B20" s="490"/>
      <c r="C20" s="505">
        <f>ROUND('Table X12 Indices 2012=100'!N20*$C$11,1)</f>
        <v>76.7</v>
      </c>
      <c r="D20" s="510"/>
      <c r="E20" s="514"/>
      <c r="F20" s="508">
        <f>ROUND('Table X12 Indices 2012=100'!Q20*$F$11,1)</f>
        <v>112.3</v>
      </c>
      <c r="G20" s="509">
        <f>ROUND('Table X12 Indices 2012=100'!R20*$G$11,1)</f>
        <v>67.8</v>
      </c>
      <c r="H20" s="509"/>
      <c r="I20" s="510"/>
      <c r="J20" s="511"/>
      <c r="K20" s="512">
        <f>ROUND('Table X12 Indices 2012=100'!U20*$K$11,1)</f>
        <v>93</v>
      </c>
      <c r="L20" s="513">
        <f>ROUND('Table X12 Indices 2012=100'!V20*$L$11,1)</f>
        <v>93.6</v>
      </c>
      <c r="M20" s="431"/>
      <c r="N20" s="432"/>
    </row>
    <row r="21" spans="1:14" ht="18" customHeight="1" x14ac:dyDescent="0.25">
      <c r="A21" s="431"/>
      <c r="B21" s="490"/>
      <c r="C21" s="505">
        <f>ROUND('Table X12 Indices 2012=100'!N21*$C$11,1)</f>
        <v>77.8</v>
      </c>
      <c r="D21" s="506"/>
      <c r="E21" s="514"/>
      <c r="F21" s="508">
        <f>ROUND('Table X12 Indices 2012=100'!Q21*$F$11,1)</f>
        <v>123.9</v>
      </c>
      <c r="G21" s="509">
        <f>ROUND('Table X12 Indices 2012=100'!R21*$G$11,1)</f>
        <v>67.8</v>
      </c>
      <c r="H21" s="509"/>
      <c r="I21" s="510"/>
      <c r="J21" s="511"/>
      <c r="K21" s="512">
        <f>ROUND('Table X12 Indices 2012=100'!U21*$K$11,1)</f>
        <v>99.6</v>
      </c>
      <c r="L21" s="513">
        <f>ROUND('Table X12 Indices 2012=100'!V21*$L$11,1)</f>
        <v>100.3</v>
      </c>
      <c r="M21" s="431"/>
      <c r="N21" s="432"/>
    </row>
    <row r="22" spans="1:14" ht="18" customHeight="1" x14ac:dyDescent="0.25">
      <c r="A22" s="431"/>
      <c r="B22" s="490"/>
      <c r="C22" s="505">
        <f>ROUND('Table X12 Indices 2012=100'!N22*$C$11,1)</f>
        <v>78.5</v>
      </c>
      <c r="D22" s="510"/>
      <c r="E22" s="514"/>
      <c r="F22" s="508">
        <f>ROUND('Table X12 Indices 2012=100'!Q22*$F$11,1)</f>
        <v>122.1</v>
      </c>
      <c r="G22" s="509">
        <f>ROUND('Table X12 Indices 2012=100'!R22*$G$11,1)</f>
        <v>67.8</v>
      </c>
      <c r="H22" s="509"/>
      <c r="I22" s="510"/>
      <c r="J22" s="511"/>
      <c r="K22" s="512">
        <f>ROUND('Table X12 Indices 2012=100'!U22*$K$11,1)</f>
        <v>105.5</v>
      </c>
      <c r="L22" s="513">
        <f>ROUND('Table X12 Indices 2012=100'!V22*$L$11,1)</f>
        <v>106.2</v>
      </c>
      <c r="M22" s="431"/>
      <c r="N22" s="432"/>
    </row>
    <row r="23" spans="1:14" ht="18" customHeight="1" x14ac:dyDescent="0.25">
      <c r="A23" s="431"/>
      <c r="B23" s="490"/>
      <c r="C23" s="505">
        <f>ROUND('Table X12 Indices 2012=100'!N23*$C$11,1)</f>
        <v>83.7</v>
      </c>
      <c r="D23" s="510"/>
      <c r="E23" s="514"/>
      <c r="F23" s="508">
        <f>ROUND('Table X12 Indices 2012=100'!Q23*$F$11,1)</f>
        <v>100.1</v>
      </c>
      <c r="G23" s="509">
        <f>ROUND('Table X12 Indices 2012=100'!R23*$G$11,1)</f>
        <v>70.7</v>
      </c>
      <c r="H23" s="509"/>
      <c r="I23" s="510"/>
      <c r="J23" s="511"/>
      <c r="K23" s="512">
        <f>ROUND('Table X12 Indices 2012=100'!U23*$K$11,1)</f>
        <v>103.9</v>
      </c>
      <c r="L23" s="513">
        <f>ROUND('Table X12 Indices 2012=100'!V23*$L$11,1)</f>
        <v>104.6</v>
      </c>
      <c r="M23" s="431"/>
      <c r="N23" s="432"/>
    </row>
    <row r="24" spans="1:14" ht="18" customHeight="1" x14ac:dyDescent="0.25">
      <c r="A24" s="431"/>
      <c r="B24" s="490"/>
      <c r="C24" s="505">
        <f>ROUND('Table X12 Indices 2012=100'!N24*$C$11,1)</f>
        <v>84.3</v>
      </c>
      <c r="D24" s="510"/>
      <c r="E24" s="514"/>
      <c r="F24" s="508">
        <f>ROUND('Table X12 Indices 2012=100'!Q24*$F$11,1)</f>
        <v>94</v>
      </c>
      <c r="G24" s="509">
        <f>ROUND('Table X12 Indices 2012=100'!R24*$G$11,1)</f>
        <v>70.7</v>
      </c>
      <c r="H24" s="509"/>
      <c r="I24" s="510"/>
      <c r="J24" s="511"/>
      <c r="K24" s="512">
        <f>ROUND('Table X12 Indices 2012=100'!U24*$K$11,1)</f>
        <v>90.6</v>
      </c>
      <c r="L24" s="513">
        <f>ROUND('Table X12 Indices 2012=100'!V24*$L$11,1)</f>
        <v>91.1</v>
      </c>
      <c r="M24" s="431"/>
      <c r="N24" s="432"/>
    </row>
    <row r="25" spans="1:14" ht="18" customHeight="1" x14ac:dyDescent="0.25">
      <c r="A25" s="431"/>
      <c r="B25" s="490"/>
      <c r="C25" s="505">
        <f>ROUND('Table X12 Indices 2012=100'!N25*$C$11,1)</f>
        <v>84.7</v>
      </c>
      <c r="D25" s="510"/>
      <c r="E25" s="514"/>
      <c r="F25" s="508">
        <f>ROUND('Table X12 Indices 2012=100'!Q25*$F$11,1)</f>
        <v>90.1</v>
      </c>
      <c r="G25" s="509">
        <f>ROUND('Table X12 Indices 2012=100'!R25*$G$11,1)</f>
        <v>70.7</v>
      </c>
      <c r="H25" s="509"/>
      <c r="I25" s="510"/>
      <c r="J25" s="511"/>
      <c r="K25" s="512">
        <f>ROUND('Table X12 Indices 2012=100'!U25*$K$11,1)</f>
        <v>85.5</v>
      </c>
      <c r="L25" s="513">
        <f>ROUND('Table X12 Indices 2012=100'!V25*$L$11,1)</f>
        <v>85.8</v>
      </c>
      <c r="M25" s="431"/>
      <c r="N25" s="432"/>
    </row>
    <row r="26" spans="1:14" ht="18" customHeight="1" x14ac:dyDescent="0.25">
      <c r="A26" s="431"/>
      <c r="B26" s="490"/>
      <c r="C26" s="505">
        <f>ROUND('Table X12 Indices 2012=100'!N26*$C$11,1)</f>
        <v>84.5</v>
      </c>
      <c r="D26" s="510"/>
      <c r="E26" s="514"/>
      <c r="F26" s="508">
        <f>ROUND('Table X12 Indices 2012=100'!Q26*$F$11,1)</f>
        <v>80.400000000000006</v>
      </c>
      <c r="G26" s="509">
        <f>ROUND('Table X12 Indices 2012=100'!R26*$G$11,1)</f>
        <v>74.5</v>
      </c>
      <c r="H26" s="509"/>
      <c r="I26" s="510"/>
      <c r="J26" s="511"/>
      <c r="K26" s="512">
        <f>ROUND('Table X12 Indices 2012=100'!U26*$K$11,1)</f>
        <v>83.2</v>
      </c>
      <c r="L26" s="513">
        <f>ROUND('Table X12 Indices 2012=100'!V26*$L$11,1)</f>
        <v>83.5</v>
      </c>
      <c r="M26" s="431"/>
      <c r="N26" s="432"/>
    </row>
    <row r="27" spans="1:14" ht="18" customHeight="1" x14ac:dyDescent="0.25">
      <c r="A27" s="431"/>
      <c r="B27" s="490"/>
      <c r="C27" s="520">
        <f>ROUND('Table X12 Indices 2012=100'!N27*$C$11,1)</f>
        <v>83.5</v>
      </c>
      <c r="D27" s="521"/>
      <c r="E27" s="522"/>
      <c r="F27" s="523">
        <f>ROUND('Table X12 Indices 2012=100'!Q27*$F$11,1)</f>
        <v>65.400000000000006</v>
      </c>
      <c r="G27" s="524">
        <f>ROUND('Table X12 Indices 2012=100'!R27*$G$11,1)</f>
        <v>74.5</v>
      </c>
      <c r="H27" s="524"/>
      <c r="I27" s="521"/>
      <c r="J27" s="525"/>
      <c r="K27" s="526">
        <f>ROUND('Table X12 Indices 2012=100'!U27*$K$11,1)</f>
        <v>75.7</v>
      </c>
      <c r="L27" s="527">
        <f>ROUND('Table X12 Indices 2012=100'!V27*$L$11,1)</f>
        <v>75.900000000000006</v>
      </c>
      <c r="M27" s="431"/>
      <c r="N27" s="432"/>
    </row>
    <row r="28" spans="1:14" ht="18" customHeight="1" x14ac:dyDescent="0.25">
      <c r="A28" s="431"/>
      <c r="B28" s="490"/>
      <c r="C28" s="533">
        <f>ROUND('Table X12 Indices 2012=100'!N28*$C$11,1)</f>
        <v>84.7</v>
      </c>
      <c r="D28" s="534"/>
      <c r="E28" s="535"/>
      <c r="F28" s="536">
        <f>ROUND('Table X12 Indices 2012=100'!Q28*$F$11,1)</f>
        <v>68.400000000000006</v>
      </c>
      <c r="G28" s="537">
        <f>ROUND('Table X12 Indices 2012=100'!R28*$G$11,1)</f>
        <v>74.5</v>
      </c>
      <c r="H28" s="537"/>
      <c r="I28" s="534"/>
      <c r="J28" s="538"/>
      <c r="K28" s="539">
        <f>ROUND('Table X12 Indices 2012=100'!U28*$K$11,1)</f>
        <v>60.3</v>
      </c>
      <c r="L28" s="540">
        <f>ROUND('Table X12 Indices 2012=100'!V28*$L$11,1)</f>
        <v>60.1</v>
      </c>
      <c r="M28" s="431"/>
      <c r="N28" s="432"/>
    </row>
    <row r="29" spans="1:14" ht="18" customHeight="1" x14ac:dyDescent="0.25">
      <c r="A29" s="431"/>
      <c r="B29" s="490"/>
      <c r="C29" s="541">
        <f>ROUND('Table X12 Indices 2012=100'!N29*$C$11,1)</f>
        <v>83.1</v>
      </c>
      <c r="D29" s="542"/>
      <c r="E29" s="543"/>
      <c r="F29" s="508">
        <f>ROUND('Table X12 Indices 2012=100'!Q29*$F$11,1)</f>
        <v>64.7</v>
      </c>
      <c r="G29" s="544">
        <f>ROUND('Table X12 Indices 2012=100'!R29*$G$11,1)</f>
        <v>77.8</v>
      </c>
      <c r="H29" s="544"/>
      <c r="I29" s="542"/>
      <c r="J29" s="545"/>
      <c r="K29" s="546">
        <f>ROUND('Table X12 Indices 2012=100'!U29*$K$11,1)</f>
        <v>59.8</v>
      </c>
      <c r="L29" s="547">
        <f>ROUND('Table X12 Indices 2012=100'!V29*$L$11,1)</f>
        <v>59.7</v>
      </c>
      <c r="M29" s="431"/>
      <c r="N29" s="432"/>
    </row>
    <row r="30" spans="1:14" ht="18" customHeight="1" x14ac:dyDescent="0.25">
      <c r="A30" s="431"/>
      <c r="B30" s="490"/>
      <c r="C30" s="541">
        <f>ROUND('Table X12 Indices 2012=100'!N30*$C$11,1)</f>
        <v>82.7</v>
      </c>
      <c r="D30" s="542"/>
      <c r="E30" s="543"/>
      <c r="F30" s="508">
        <f>ROUND('Table X12 Indices 2012=100'!Q30*$F$11,1)</f>
        <v>60.5</v>
      </c>
      <c r="G30" s="544">
        <f>ROUND('Table X12 Indices 2012=100'!R30*$G$11,1)</f>
        <v>77.8</v>
      </c>
      <c r="H30" s="544"/>
      <c r="I30" s="542"/>
      <c r="J30" s="545"/>
      <c r="K30" s="546">
        <f>ROUND('Table X12 Indices 2012=100'!U30*$K$11,1)</f>
        <v>56.3</v>
      </c>
      <c r="L30" s="547">
        <f>ROUND('Table X12 Indices 2012=100'!V30*$L$11,1)</f>
        <v>56</v>
      </c>
      <c r="M30" s="431"/>
      <c r="N30" s="432"/>
    </row>
    <row r="31" spans="1:14" ht="18" customHeight="1" x14ac:dyDescent="0.25">
      <c r="A31" s="431"/>
      <c r="B31" s="490"/>
      <c r="C31" s="541">
        <f>ROUND('Table X12 Indices 2012=100'!N31*$C$11,1)</f>
        <v>82.2</v>
      </c>
      <c r="D31" s="542"/>
      <c r="E31" s="543"/>
      <c r="F31" s="508">
        <f>ROUND('Table X12 Indices 2012=100'!Q31*$F$11,1)</f>
        <v>59.7</v>
      </c>
      <c r="G31" s="544">
        <f>ROUND('Table X12 Indices 2012=100'!R31*$G$11,1)</f>
        <v>77.8</v>
      </c>
      <c r="H31" s="544"/>
      <c r="I31" s="542"/>
      <c r="J31" s="545"/>
      <c r="K31" s="546">
        <f>ROUND('Table X12 Indices 2012=100'!U31*$K$11,1)</f>
        <v>60</v>
      </c>
      <c r="L31" s="547">
        <f>ROUND('Table X12 Indices 2012=100'!V31*$L$11,1)</f>
        <v>59.8</v>
      </c>
      <c r="M31" s="431"/>
      <c r="N31" s="432"/>
    </row>
    <row r="32" spans="1:14" ht="18" customHeight="1" x14ac:dyDescent="0.25">
      <c r="A32" s="431"/>
      <c r="B32" s="490"/>
      <c r="C32" s="541">
        <f>ROUND('Table X12 Indices 2012=100'!N32*$C$11,1)</f>
        <v>80.599999999999994</v>
      </c>
      <c r="D32" s="542"/>
      <c r="E32" s="543"/>
      <c r="F32" s="508">
        <f>ROUND('Table X12 Indices 2012=100'!Q32*$F$11,1)</f>
        <v>59.9</v>
      </c>
      <c r="G32" s="544">
        <f>ROUND('Table X12 Indices 2012=100'!R32*$G$11,1)</f>
        <v>76.2</v>
      </c>
      <c r="H32" s="544"/>
      <c r="I32" s="542"/>
      <c r="J32" s="545"/>
      <c r="K32" s="546">
        <f>ROUND('Table X12 Indices 2012=100'!U32*$K$11,1)</f>
        <v>60.8</v>
      </c>
      <c r="L32" s="547">
        <f>ROUND('Table X12 Indices 2012=100'!V32*$L$11,1)</f>
        <v>60.5</v>
      </c>
      <c r="M32" s="431"/>
      <c r="N32" s="432"/>
    </row>
    <row r="33" spans="1:14" ht="18" customHeight="1" x14ac:dyDescent="0.25">
      <c r="A33" s="431"/>
      <c r="B33" s="490"/>
      <c r="C33" s="541">
        <f>ROUND('Table X12 Indices 2012=100'!N33*$C$11,1)</f>
        <v>80.5</v>
      </c>
      <c r="D33" s="542"/>
      <c r="E33" s="543"/>
      <c r="F33" s="508">
        <f>ROUND('Table X12 Indices 2012=100'!Q33*$F$11,1)</f>
        <v>61.2</v>
      </c>
      <c r="G33" s="544">
        <f>ROUND('Table X12 Indices 2012=100'!R33*$G$11,1)</f>
        <v>76.2</v>
      </c>
      <c r="H33" s="544"/>
      <c r="I33" s="542"/>
      <c r="J33" s="545"/>
      <c r="K33" s="546">
        <f>ROUND('Table X12 Indices 2012=100'!U33*$K$11,1)</f>
        <v>59.6</v>
      </c>
      <c r="L33" s="547">
        <f>ROUND('Table X12 Indices 2012=100'!V33*$L$11,1)</f>
        <v>59.5</v>
      </c>
      <c r="M33" s="431"/>
      <c r="N33" s="432"/>
    </row>
    <row r="34" spans="1:14" ht="18" customHeight="1" x14ac:dyDescent="0.25">
      <c r="A34" s="431"/>
      <c r="B34" s="490"/>
      <c r="C34" s="541">
        <f>ROUND('Table X12 Indices 2012=100'!N34*$C$11,1)</f>
        <v>81.400000000000006</v>
      </c>
      <c r="D34" s="542"/>
      <c r="E34" s="543"/>
      <c r="F34" s="508">
        <f>ROUND('Table X12 Indices 2012=100'!Q34*$F$11,1)</f>
        <v>63.5</v>
      </c>
      <c r="G34" s="544">
        <f>ROUND('Table X12 Indices 2012=100'!R34*$G$11,1)</f>
        <v>76.2</v>
      </c>
      <c r="H34" s="544"/>
      <c r="I34" s="542"/>
      <c r="J34" s="545"/>
      <c r="K34" s="546">
        <f>ROUND('Table X12 Indices 2012=100'!U34*$K$11,1)</f>
        <v>63.3</v>
      </c>
      <c r="L34" s="547">
        <f>ROUND('Table X12 Indices 2012=100'!V34*$L$11,1)</f>
        <v>63.2</v>
      </c>
      <c r="M34" s="431"/>
      <c r="N34" s="432"/>
    </row>
    <row r="35" spans="1:14" ht="18" customHeight="1" x14ac:dyDescent="0.25">
      <c r="A35" s="431"/>
      <c r="B35" s="490"/>
      <c r="C35" s="541">
        <f>ROUND('Table X12 Indices 2012=100'!N35*$C$11,1)</f>
        <v>81</v>
      </c>
      <c r="D35" s="542"/>
      <c r="E35" s="543"/>
      <c r="F35" s="508">
        <f>ROUND('Table X12 Indices 2012=100'!Q35*$F$11,1)</f>
        <v>62.5</v>
      </c>
      <c r="G35" s="544">
        <f>ROUND('Table X12 Indices 2012=100'!R35*$G$11,1)</f>
        <v>76.900000000000006</v>
      </c>
      <c r="H35" s="544"/>
      <c r="I35" s="542"/>
      <c r="J35" s="545"/>
      <c r="K35" s="546">
        <f>ROUND('Table X12 Indices 2012=100'!U35*$K$11,1)</f>
        <v>61.4</v>
      </c>
      <c r="L35" s="547">
        <f>ROUND('Table X12 Indices 2012=100'!V35*$L$11,1)</f>
        <v>61.4</v>
      </c>
      <c r="M35" s="431"/>
      <c r="N35" s="432"/>
    </row>
    <row r="36" spans="1:14" ht="18" customHeight="1" x14ac:dyDescent="0.25">
      <c r="A36" s="431"/>
      <c r="B36" s="490"/>
      <c r="C36" s="541">
        <f>ROUND('Table X12 Indices 2012=100'!N36*$C$11,1)</f>
        <v>80.8</v>
      </c>
      <c r="D36" s="542"/>
      <c r="E36" s="543"/>
      <c r="F36" s="508">
        <f>ROUND('Table X12 Indices 2012=100'!Q36*$F$11,1)</f>
        <v>65</v>
      </c>
      <c r="G36" s="544">
        <f>ROUND('Table X12 Indices 2012=100'!R36*$G$11,1)</f>
        <v>76.900000000000006</v>
      </c>
      <c r="H36" s="544"/>
      <c r="I36" s="542"/>
      <c r="J36" s="545"/>
      <c r="K36" s="546">
        <f>ROUND('Table X12 Indices 2012=100'!U36*$K$11,1)</f>
        <v>64.5</v>
      </c>
      <c r="L36" s="547">
        <f>ROUND('Table X12 Indices 2012=100'!V36*$L$11,1)</f>
        <v>64.5</v>
      </c>
      <c r="M36" s="431"/>
      <c r="N36" s="432"/>
    </row>
    <row r="37" spans="1:14" ht="18" customHeight="1" x14ac:dyDescent="0.25">
      <c r="A37" s="431"/>
      <c r="B37" s="490"/>
      <c r="C37" s="541">
        <f>ROUND('Table X12 Indices 2012=100'!N37*$C$11,1)</f>
        <v>80.7</v>
      </c>
      <c r="D37" s="542"/>
      <c r="E37" s="543"/>
      <c r="F37" s="508">
        <f>ROUND('Table X12 Indices 2012=100'!Q37*$F$11,1)</f>
        <v>61.4</v>
      </c>
      <c r="G37" s="544">
        <f>ROUND('Table X12 Indices 2012=100'!R37*$G$11,1)</f>
        <v>76.900000000000006</v>
      </c>
      <c r="H37" s="544"/>
      <c r="I37" s="542"/>
      <c r="J37" s="545"/>
      <c r="K37" s="546">
        <f>ROUND('Table X12 Indices 2012=100'!U37*$K$11,1)</f>
        <v>61.6</v>
      </c>
      <c r="L37" s="547">
        <f>ROUND('Table X12 Indices 2012=100'!V37*$L$11,1)</f>
        <v>61.6</v>
      </c>
      <c r="M37" s="431"/>
      <c r="N37" s="432"/>
    </row>
    <row r="38" spans="1:14" ht="18" customHeight="1" x14ac:dyDescent="0.25">
      <c r="A38" s="431"/>
      <c r="B38" s="490"/>
      <c r="C38" s="541">
        <f>ROUND('Table X12 Indices 2012=100'!N38*$C$11,1)</f>
        <v>80.8</v>
      </c>
      <c r="D38" s="542"/>
      <c r="E38" s="543"/>
      <c r="F38" s="508">
        <f>ROUND('Table X12 Indices 2012=100'!Q38*$F$11,1)</f>
        <v>62.5</v>
      </c>
      <c r="G38" s="544">
        <f>ROUND('Table X12 Indices 2012=100'!R38*$G$11,1)</f>
        <v>75.8</v>
      </c>
      <c r="H38" s="544"/>
      <c r="I38" s="542"/>
      <c r="J38" s="545"/>
      <c r="K38" s="546">
        <f>ROUND('Table X12 Indices 2012=100'!U38*$K$11,1)</f>
        <v>62.5</v>
      </c>
      <c r="L38" s="547">
        <f>ROUND('Table X12 Indices 2012=100'!V38*$L$11,1)</f>
        <v>62.5</v>
      </c>
      <c r="M38" s="431"/>
      <c r="N38" s="432"/>
    </row>
    <row r="39" spans="1:14" ht="18" customHeight="1" x14ac:dyDescent="0.25">
      <c r="A39" s="431"/>
      <c r="B39" s="490"/>
      <c r="C39" s="548">
        <f>ROUND('Table X12 Indices 2012=100'!N39*$C$11,1)</f>
        <v>80.8</v>
      </c>
      <c r="D39" s="549"/>
      <c r="E39" s="550"/>
      <c r="F39" s="523">
        <f>ROUND('Table X12 Indices 2012=100'!Q39*$F$11,1)</f>
        <v>65.7</v>
      </c>
      <c r="G39" s="551">
        <f>ROUND('Table X12 Indices 2012=100'!R39*$G$11,1)</f>
        <v>75.8</v>
      </c>
      <c r="H39" s="551"/>
      <c r="I39" s="549"/>
      <c r="J39" s="552"/>
      <c r="K39" s="553">
        <f>ROUND('Table X12 Indices 2012=100'!U39*$K$11,1)</f>
        <v>64.8</v>
      </c>
      <c r="L39" s="554">
        <f>ROUND('Table X12 Indices 2012=100'!V39*$L$11,1)</f>
        <v>64.8</v>
      </c>
      <c r="M39" s="431"/>
      <c r="N39" s="432"/>
    </row>
    <row r="40" spans="1:14" ht="18" customHeight="1" x14ac:dyDescent="0.25">
      <c r="A40" s="431"/>
      <c r="B40" s="490"/>
      <c r="C40" s="533">
        <f>ROUND('Table X12 Indices 2012=100'!N40*$C$11,1)</f>
        <v>81.900000000000006</v>
      </c>
      <c r="D40" s="534"/>
      <c r="E40" s="535"/>
      <c r="F40" s="536">
        <f>ROUND('Table X12 Indices 2012=100'!Q40*$F$11,1)</f>
        <v>64.2</v>
      </c>
      <c r="G40" s="537">
        <f>ROUND('Table X12 Indices 2012=100'!R40*$G$11,1)</f>
        <v>75.8</v>
      </c>
      <c r="H40" s="537"/>
      <c r="I40" s="534"/>
      <c r="J40" s="538"/>
      <c r="K40" s="539">
        <f>ROUND('Table X12 Indices 2012=100'!U40*$K$11,1)</f>
        <v>63.5</v>
      </c>
      <c r="L40" s="540">
        <f>ROUND('Table X12 Indices 2012=100'!V40*$L$11,1)</f>
        <v>63.5</v>
      </c>
      <c r="M40" s="431"/>
      <c r="N40" s="432"/>
    </row>
    <row r="41" spans="1:14" ht="18" customHeight="1" x14ac:dyDescent="0.25">
      <c r="A41" s="431"/>
      <c r="B41" s="490"/>
      <c r="C41" s="541">
        <f>ROUND('Table X12 Indices 2012=100'!N41*$C$11,1)</f>
        <v>82.1</v>
      </c>
      <c r="D41" s="542"/>
      <c r="E41" s="543"/>
      <c r="F41" s="508">
        <f>ROUND('Table X12 Indices 2012=100'!Q41*$F$11,1)</f>
        <v>65.8</v>
      </c>
      <c r="G41" s="544">
        <f>ROUND('Table X12 Indices 2012=100'!R41*$G$11,1)</f>
        <v>75.8</v>
      </c>
      <c r="H41" s="544"/>
      <c r="I41" s="542"/>
      <c r="J41" s="545"/>
      <c r="K41" s="546">
        <f>ROUND('Table X12 Indices 2012=100'!U41*$K$11,1)</f>
        <v>64.400000000000006</v>
      </c>
      <c r="L41" s="547">
        <f>ROUND('Table X12 Indices 2012=100'!V41*$L$11,1)</f>
        <v>64.400000000000006</v>
      </c>
      <c r="M41" s="431"/>
      <c r="N41" s="432"/>
    </row>
    <row r="42" spans="1:14" ht="18" customHeight="1" x14ac:dyDescent="0.25">
      <c r="A42" s="431"/>
      <c r="B42" s="490"/>
      <c r="C42" s="541">
        <f>ROUND('Table X12 Indices 2012=100'!N42*$C$11,1)</f>
        <v>82.1</v>
      </c>
      <c r="D42" s="542"/>
      <c r="E42" s="543"/>
      <c r="F42" s="508">
        <f>ROUND('Table X12 Indices 2012=100'!Q42*$F$11,1)</f>
        <v>66.900000000000006</v>
      </c>
      <c r="G42" s="544">
        <f>ROUND('Table X12 Indices 2012=100'!R42*$G$11,1)</f>
        <v>76.2</v>
      </c>
      <c r="H42" s="544"/>
      <c r="I42" s="542"/>
      <c r="J42" s="545"/>
      <c r="K42" s="546">
        <f>ROUND('Table X12 Indices 2012=100'!U42*$K$11,1)</f>
        <v>64.8</v>
      </c>
      <c r="L42" s="547">
        <f>ROUND('Table X12 Indices 2012=100'!V42*$L$11,1)</f>
        <v>64.8</v>
      </c>
      <c r="M42" s="431"/>
      <c r="N42" s="432"/>
    </row>
    <row r="43" spans="1:14" ht="18" customHeight="1" x14ac:dyDescent="0.25">
      <c r="A43" s="431"/>
      <c r="B43" s="490"/>
      <c r="C43" s="541">
        <f>ROUND('Table X12 Indices 2012=100'!N43*$C$11,1)</f>
        <v>82</v>
      </c>
      <c r="D43" s="542"/>
      <c r="E43" s="543"/>
      <c r="F43" s="508">
        <f>ROUND('Table X12 Indices 2012=100'!Q43*$F$11,1)</f>
        <v>70.8</v>
      </c>
      <c r="G43" s="544">
        <f>ROUND('Table X12 Indices 2012=100'!R43*$G$11,1)</f>
        <v>76.2</v>
      </c>
      <c r="H43" s="544"/>
      <c r="I43" s="542"/>
      <c r="J43" s="545"/>
      <c r="K43" s="546">
        <f>ROUND('Table X12 Indices 2012=100'!U43*$K$11,1)</f>
        <v>69.400000000000006</v>
      </c>
      <c r="L43" s="547">
        <f>ROUND('Table X12 Indices 2012=100'!V43*$L$11,1)</f>
        <v>69.599999999999994</v>
      </c>
      <c r="M43" s="431"/>
      <c r="N43" s="432"/>
    </row>
    <row r="44" spans="1:14" ht="18" customHeight="1" x14ac:dyDescent="0.25">
      <c r="A44" s="431"/>
      <c r="B44" s="490"/>
      <c r="C44" s="541">
        <f>ROUND('Table X12 Indices 2012=100'!N44*$C$11,1)</f>
        <v>83</v>
      </c>
      <c r="D44" s="542"/>
      <c r="E44" s="543"/>
      <c r="F44" s="508">
        <f>ROUND('Table X12 Indices 2012=100'!Q44*$F$11,1)</f>
        <v>72.599999999999994</v>
      </c>
      <c r="G44" s="544">
        <f>ROUND('Table X12 Indices 2012=100'!R44*$G$11,1)</f>
        <v>75.599999999999994</v>
      </c>
      <c r="H44" s="544"/>
      <c r="I44" s="542"/>
      <c r="J44" s="545"/>
      <c r="K44" s="546">
        <f>ROUND('Table X12 Indices 2012=100'!U44*$K$11,1)</f>
        <v>72</v>
      </c>
      <c r="L44" s="547">
        <f>ROUND('Table X12 Indices 2012=100'!V44*$L$11,1)</f>
        <v>72.099999999999994</v>
      </c>
      <c r="M44" s="431"/>
      <c r="N44" s="432"/>
    </row>
    <row r="45" spans="1:14" ht="18" customHeight="1" x14ac:dyDescent="0.25">
      <c r="A45" s="431"/>
      <c r="B45" s="490"/>
      <c r="C45" s="541">
        <f>ROUND('Table X12 Indices 2012=100'!N45*$C$11,1)</f>
        <v>83.5</v>
      </c>
      <c r="D45" s="542"/>
      <c r="E45" s="543"/>
      <c r="F45" s="508">
        <f>ROUND('Table X12 Indices 2012=100'!Q45*$F$11,1)</f>
        <v>71.599999999999994</v>
      </c>
      <c r="G45" s="544">
        <f>ROUND('Table X12 Indices 2012=100'!R45*$G$11,1)</f>
        <v>75.5</v>
      </c>
      <c r="H45" s="544"/>
      <c r="I45" s="542"/>
      <c r="J45" s="545"/>
      <c r="K45" s="546">
        <f>ROUND('Table X12 Indices 2012=100'!U45*$K$11,1)</f>
        <v>70.7</v>
      </c>
      <c r="L45" s="547">
        <f>ROUND('Table X12 Indices 2012=100'!V45*$L$11,1)</f>
        <v>70.8</v>
      </c>
      <c r="M45" s="431"/>
      <c r="N45" s="432"/>
    </row>
    <row r="46" spans="1:14" ht="18" customHeight="1" x14ac:dyDescent="0.25">
      <c r="A46" s="431"/>
      <c r="B46" s="490"/>
      <c r="C46" s="541">
        <f>ROUND('Table X12 Indices 2012=100'!N46*$C$11,1)</f>
        <v>82.5</v>
      </c>
      <c r="D46" s="542"/>
      <c r="E46" s="543"/>
      <c r="F46" s="508">
        <f>ROUND('Table X12 Indices 2012=100'!Q46*$F$11,1)</f>
        <v>70.599999999999994</v>
      </c>
      <c r="G46" s="544">
        <f>ROUND('Table X12 Indices 2012=100'!R46*$G$11,1)</f>
        <v>75.5</v>
      </c>
      <c r="H46" s="544"/>
      <c r="I46" s="542"/>
      <c r="J46" s="545"/>
      <c r="K46" s="546">
        <f>ROUND('Table X12 Indices 2012=100'!U46*$K$11,1)</f>
        <v>69.3</v>
      </c>
      <c r="L46" s="547">
        <f>ROUND('Table X12 Indices 2012=100'!V46*$L$11,1)</f>
        <v>69.5</v>
      </c>
      <c r="M46" s="431"/>
      <c r="N46" s="432"/>
    </row>
    <row r="47" spans="1:14" ht="18" customHeight="1" x14ac:dyDescent="0.25">
      <c r="A47" s="431"/>
      <c r="B47" s="490"/>
      <c r="C47" s="541">
        <f>ROUND('Table X12 Indices 2012=100'!N47*$C$11,1)</f>
        <v>82</v>
      </c>
      <c r="D47" s="542"/>
      <c r="E47" s="543"/>
      <c r="F47" s="508">
        <f>ROUND('Table X12 Indices 2012=100'!Q47*$F$11,1)</f>
        <v>69.900000000000006</v>
      </c>
      <c r="G47" s="544">
        <f>ROUND('Table X12 Indices 2012=100'!R47*$G$11,1)</f>
        <v>75.2</v>
      </c>
      <c r="H47" s="544"/>
      <c r="I47" s="542"/>
      <c r="J47" s="545"/>
      <c r="K47" s="546">
        <f>ROUND('Table X12 Indices 2012=100'!U47*$K$11,1)</f>
        <v>68</v>
      </c>
      <c r="L47" s="547">
        <f>ROUND('Table X12 Indices 2012=100'!V47*$L$11,1)</f>
        <v>68.2</v>
      </c>
      <c r="M47" s="431"/>
      <c r="N47" s="432"/>
    </row>
    <row r="48" spans="1:14" ht="18" customHeight="1" x14ac:dyDescent="0.25">
      <c r="A48" s="431"/>
      <c r="B48" s="490"/>
      <c r="C48" s="541">
        <f>ROUND('Table X12 Indices 2012=100'!N48*$C$11,1)</f>
        <v>82</v>
      </c>
      <c r="D48" s="542"/>
      <c r="E48" s="543"/>
      <c r="F48" s="508">
        <f>ROUND('Table X12 Indices 2012=100'!Q48*$F$11,1)</f>
        <v>69.3</v>
      </c>
      <c r="G48" s="544">
        <f>ROUND('Table X12 Indices 2012=100'!R48*$G$11,1)</f>
        <v>75.2</v>
      </c>
      <c r="H48" s="544"/>
      <c r="I48" s="542"/>
      <c r="J48" s="545"/>
      <c r="K48" s="546">
        <f>ROUND('Table X12 Indices 2012=100'!U48*$K$11,1)</f>
        <v>68</v>
      </c>
      <c r="L48" s="547">
        <f>ROUND('Table X12 Indices 2012=100'!V48*$L$11,1)</f>
        <v>68.2</v>
      </c>
      <c r="M48" s="431"/>
      <c r="N48" s="432"/>
    </row>
    <row r="49" spans="1:14" ht="18" customHeight="1" x14ac:dyDescent="0.25">
      <c r="A49" s="431"/>
      <c r="B49" s="490"/>
      <c r="C49" s="541">
        <f>ROUND('Table X12 Indices 2012=100'!N49*$C$11,1)</f>
        <v>82.4</v>
      </c>
      <c r="D49" s="542">
        <f>ROUND('Table X12 Indices 2012=100'!O49*$D$11,1)</f>
        <v>72.599999999999994</v>
      </c>
      <c r="E49" s="543">
        <f>ROUND('Table X12 Indices 2012=100'!P49*$E$11,1)</f>
        <v>80</v>
      </c>
      <c r="F49" s="508">
        <f>ROUND('Table X12 Indices 2012=100'!Q49*$F$11,1)</f>
        <v>69.5</v>
      </c>
      <c r="G49" s="544">
        <f>ROUND('Table X12 Indices 2012=100'!R49*$G$11,1)</f>
        <v>75.3</v>
      </c>
      <c r="H49" s="544"/>
      <c r="I49" s="542">
        <f>ROUND('Table X12 Indices 2012=100'!S49*$I$11,1)</f>
        <v>74.099999999999994</v>
      </c>
      <c r="J49" s="545">
        <f>ROUND('Table X12 Indices 2012=100'!T49*$J$11,1)</f>
        <v>81.099999999999994</v>
      </c>
      <c r="K49" s="546">
        <f>ROUND('Table X12 Indices 2012=100'!U49*$K$11,1)</f>
        <v>67.8</v>
      </c>
      <c r="L49" s="547">
        <f>ROUND('Table X12 Indices 2012=100'!V49*$L$11,1)</f>
        <v>68</v>
      </c>
      <c r="M49" s="431"/>
      <c r="N49" s="432"/>
    </row>
    <row r="50" spans="1:14" ht="18" customHeight="1" x14ac:dyDescent="0.25">
      <c r="A50" s="431"/>
      <c r="B50" s="490"/>
      <c r="C50" s="541">
        <f>ROUND('Table X12 Indices 2012=100'!N50*$C$11,1)</f>
        <v>82</v>
      </c>
      <c r="D50" s="542">
        <f>ROUND('Table X12 Indices 2012=100'!O50*$D$11,1)</f>
        <v>72.599999999999994</v>
      </c>
      <c r="E50" s="543">
        <f>ROUND('Table X12 Indices 2012=100'!P50*$E$11,1)</f>
        <v>80</v>
      </c>
      <c r="F50" s="508">
        <f>ROUND('Table X12 Indices 2012=100'!Q50*$F$11,1)</f>
        <v>71.3</v>
      </c>
      <c r="G50" s="544">
        <f>ROUND('Table X12 Indices 2012=100'!R50*$G$11,1)</f>
        <v>75.5</v>
      </c>
      <c r="H50" s="544"/>
      <c r="I50" s="542">
        <f>ROUND('Table X12 Indices 2012=100'!S50*$I$11,1)</f>
        <v>74.099999999999994</v>
      </c>
      <c r="J50" s="545">
        <f>ROUND('Table X12 Indices 2012=100'!T50*$J$11,1)</f>
        <v>81.3</v>
      </c>
      <c r="K50" s="546">
        <f>ROUND('Table X12 Indices 2012=100'!U50*$K$11,1)</f>
        <v>70.099999999999994</v>
      </c>
      <c r="L50" s="547">
        <f>ROUND('Table X12 Indices 2012=100'!V50*$L$11,1)</f>
        <v>70.3</v>
      </c>
      <c r="M50" s="431"/>
      <c r="N50" s="432"/>
    </row>
    <row r="51" spans="1:14" ht="18" customHeight="1" x14ac:dyDescent="0.25">
      <c r="A51" s="431"/>
      <c r="B51" s="490"/>
      <c r="C51" s="548">
        <f>ROUND('Table X12 Indices 2012=100'!N51*$C$11,1)</f>
        <v>82.1</v>
      </c>
      <c r="D51" s="549">
        <f>ROUND('Table X12 Indices 2012=100'!O51*$D$11,1)</f>
        <v>72.5</v>
      </c>
      <c r="E51" s="550">
        <f>ROUND('Table X12 Indices 2012=100'!P51*$E$11,1)</f>
        <v>80.400000000000006</v>
      </c>
      <c r="F51" s="523">
        <f>ROUND('Table X12 Indices 2012=100'!Q51*$F$11,1)</f>
        <v>73.8</v>
      </c>
      <c r="G51" s="551">
        <f>ROUND('Table X12 Indices 2012=100'!R51*$G$11,1)</f>
        <v>74.8</v>
      </c>
      <c r="H51" s="551"/>
      <c r="I51" s="549">
        <f>ROUND('Table X12 Indices 2012=100'!S51*$I$11,1)</f>
        <v>72.8</v>
      </c>
      <c r="J51" s="552">
        <f>ROUND('Table X12 Indices 2012=100'!T51*$J$11,1)</f>
        <v>81</v>
      </c>
      <c r="K51" s="553">
        <f>ROUND('Table X12 Indices 2012=100'!U51*$K$11,1)</f>
        <v>70.099999999999994</v>
      </c>
      <c r="L51" s="554">
        <f>ROUND('Table X12 Indices 2012=100'!V51*$L$11,1)</f>
        <v>70.3</v>
      </c>
      <c r="M51" s="431"/>
      <c r="N51" s="432"/>
    </row>
    <row r="52" spans="1:14" ht="18" customHeight="1" x14ac:dyDescent="0.25">
      <c r="A52" s="431"/>
      <c r="B52" s="490"/>
      <c r="C52" s="533">
        <f>ROUND('Table X12 Indices 2012=100'!N52*$C$11,1)</f>
        <v>83</v>
      </c>
      <c r="D52" s="534">
        <f>ROUND('Table X12 Indices 2012=100'!O52*$D$11,1)</f>
        <v>73</v>
      </c>
      <c r="E52" s="535">
        <f>ROUND('Table X12 Indices 2012=100'!P52*$E$11,1)</f>
        <v>80.5</v>
      </c>
      <c r="F52" s="536">
        <f>ROUND('Table X12 Indices 2012=100'!Q52*$F$11,1)</f>
        <v>76.5</v>
      </c>
      <c r="G52" s="537">
        <f>ROUND('Table X12 Indices 2012=100'!R52*$G$11,1)</f>
        <v>74.2</v>
      </c>
      <c r="H52" s="537"/>
      <c r="I52" s="534">
        <f>ROUND('Table X12 Indices 2012=100'!S52*$I$11,1)</f>
        <v>72.900000000000006</v>
      </c>
      <c r="J52" s="538">
        <f>ROUND('Table X12 Indices 2012=100'!T52*$J$11,1)</f>
        <v>80.900000000000006</v>
      </c>
      <c r="K52" s="539">
        <f>ROUND('Table X12 Indices 2012=100'!U52*$K$11,1)</f>
        <v>72.2</v>
      </c>
      <c r="L52" s="540">
        <f>ROUND('Table X12 Indices 2012=100'!V52*$L$11,1)</f>
        <v>72.400000000000006</v>
      </c>
      <c r="M52" s="431"/>
      <c r="N52" s="432"/>
    </row>
    <row r="53" spans="1:14" ht="18" customHeight="1" x14ac:dyDescent="0.25">
      <c r="A53" s="431"/>
      <c r="B53" s="490"/>
      <c r="C53" s="541">
        <f>ROUND('Table X12 Indices 2012=100'!N53*$C$11,1)</f>
        <v>83.2</v>
      </c>
      <c r="D53" s="542">
        <f>ROUND('Table X12 Indices 2012=100'!O53*$D$11,1)</f>
        <v>75.2</v>
      </c>
      <c r="E53" s="543">
        <f>ROUND('Table X12 Indices 2012=100'!P53*$E$11,1)</f>
        <v>82.2</v>
      </c>
      <c r="F53" s="508">
        <f>ROUND('Table X12 Indices 2012=100'!Q53*$F$11,1)</f>
        <v>83.7</v>
      </c>
      <c r="G53" s="544">
        <f>ROUND('Table X12 Indices 2012=100'!R53*$G$11,1)</f>
        <v>75.2</v>
      </c>
      <c r="H53" s="544"/>
      <c r="I53" s="542">
        <f>ROUND('Table X12 Indices 2012=100'!S53*$I$11,1)</f>
        <v>73.2</v>
      </c>
      <c r="J53" s="545">
        <f>ROUND('Table X12 Indices 2012=100'!T53*$J$11,1)</f>
        <v>81.5</v>
      </c>
      <c r="K53" s="546">
        <f>ROUND('Table X12 Indices 2012=100'!U53*$K$11,1)</f>
        <v>75</v>
      </c>
      <c r="L53" s="547">
        <f>ROUND('Table X12 Indices 2012=100'!V53*$L$11,1)</f>
        <v>75.3</v>
      </c>
      <c r="M53" s="431"/>
      <c r="N53" s="432"/>
    </row>
    <row r="54" spans="1:14" ht="18" customHeight="1" x14ac:dyDescent="0.25">
      <c r="A54" s="431"/>
      <c r="B54" s="490"/>
      <c r="C54" s="541">
        <f>ROUND('Table X12 Indices 2012=100'!N54*$C$11,1)</f>
        <v>83.8</v>
      </c>
      <c r="D54" s="542">
        <f>ROUND('Table X12 Indices 2012=100'!O54*$D$11,1)</f>
        <v>76.3</v>
      </c>
      <c r="E54" s="543">
        <f>ROUND('Table X12 Indices 2012=100'!P54*$E$11,1)</f>
        <v>85.5</v>
      </c>
      <c r="F54" s="508">
        <f>ROUND('Table X12 Indices 2012=100'!Q54*$F$11,1)</f>
        <v>89.2</v>
      </c>
      <c r="G54" s="544">
        <f>ROUND('Table X12 Indices 2012=100'!R54*$G$11,1)</f>
        <v>75.5</v>
      </c>
      <c r="H54" s="544"/>
      <c r="I54" s="542">
        <f>ROUND('Table X12 Indices 2012=100'!S54*$I$11,1)</f>
        <v>73.7</v>
      </c>
      <c r="J54" s="545">
        <f>ROUND('Table X12 Indices 2012=100'!T54*$J$11,1)</f>
        <v>81.8</v>
      </c>
      <c r="K54" s="546">
        <f>ROUND('Table X12 Indices 2012=100'!U54*$K$11,1)</f>
        <v>80.900000000000006</v>
      </c>
      <c r="L54" s="547">
        <f>ROUND('Table X12 Indices 2012=100'!V54*$L$11,1)</f>
        <v>81.3</v>
      </c>
      <c r="M54" s="431"/>
      <c r="N54" s="432"/>
    </row>
    <row r="55" spans="1:14" ht="18" customHeight="1" x14ac:dyDescent="0.25">
      <c r="A55" s="431"/>
      <c r="B55" s="490"/>
      <c r="C55" s="541">
        <f>ROUND('Table X12 Indices 2012=100'!N55*$C$11,1)</f>
        <v>83.3</v>
      </c>
      <c r="D55" s="542">
        <f>ROUND('Table X12 Indices 2012=100'!O55*$D$11,1)</f>
        <v>76.3</v>
      </c>
      <c r="E55" s="543">
        <f>ROUND('Table X12 Indices 2012=100'!P55*$E$11,1)</f>
        <v>88.4</v>
      </c>
      <c r="F55" s="508">
        <f>ROUND('Table X12 Indices 2012=100'!Q55*$F$11,1)</f>
        <v>94.6</v>
      </c>
      <c r="G55" s="544">
        <f>ROUND('Table X12 Indices 2012=100'!R55*$G$11,1)</f>
        <v>75.5</v>
      </c>
      <c r="H55" s="544"/>
      <c r="I55" s="542">
        <f>ROUND('Table X12 Indices 2012=100'!S55*$I$11,1)</f>
        <v>73.7</v>
      </c>
      <c r="J55" s="545">
        <f>ROUND('Table X12 Indices 2012=100'!T55*$J$11,1)</f>
        <v>82.1</v>
      </c>
      <c r="K55" s="546">
        <f>ROUND('Table X12 Indices 2012=100'!U55*$K$11,1)</f>
        <v>87.4</v>
      </c>
      <c r="L55" s="547">
        <f>ROUND('Table X12 Indices 2012=100'!V55*$L$11,1)</f>
        <v>87.4</v>
      </c>
      <c r="M55" s="431"/>
      <c r="N55" s="432"/>
    </row>
    <row r="56" spans="1:14" ht="18" customHeight="1" x14ac:dyDescent="0.25">
      <c r="A56" s="431"/>
      <c r="B56" s="490"/>
      <c r="C56" s="541">
        <f>ROUND('Table X12 Indices 2012=100'!N56*$C$11,1)</f>
        <v>83.1</v>
      </c>
      <c r="D56" s="542">
        <f>ROUND('Table X12 Indices 2012=100'!O56*$D$11,1)</f>
        <v>76.2</v>
      </c>
      <c r="E56" s="543">
        <f>ROUND('Table X12 Indices 2012=100'!P56*$E$11,1)</f>
        <v>88.8</v>
      </c>
      <c r="F56" s="508">
        <f>ROUND('Table X12 Indices 2012=100'!Q56*$F$11,1)</f>
        <v>93.6</v>
      </c>
      <c r="G56" s="544">
        <f>ROUND('Table X12 Indices 2012=100'!R56*$G$11,1)</f>
        <v>75.5</v>
      </c>
      <c r="H56" s="544"/>
      <c r="I56" s="542">
        <f>ROUND('Table X12 Indices 2012=100'!S56*$I$11,1)</f>
        <v>74.2</v>
      </c>
      <c r="J56" s="545">
        <f>ROUND('Table X12 Indices 2012=100'!T56*$J$11,1)</f>
        <v>82.7</v>
      </c>
      <c r="K56" s="546">
        <f>ROUND('Table X12 Indices 2012=100'!U56*$K$11,1)</f>
        <v>88.9</v>
      </c>
      <c r="L56" s="547">
        <f>ROUND('Table X12 Indices 2012=100'!V56*$L$11,1)</f>
        <v>88.8</v>
      </c>
      <c r="M56" s="431"/>
      <c r="N56" s="432"/>
    </row>
    <row r="57" spans="1:14" ht="18" customHeight="1" x14ac:dyDescent="0.25">
      <c r="A57" s="431"/>
      <c r="B57" s="490"/>
      <c r="C57" s="541">
        <f>ROUND('Table X12 Indices 2012=100'!N57*$C$11,1)</f>
        <v>83.3</v>
      </c>
      <c r="D57" s="542">
        <f>ROUND('Table X12 Indices 2012=100'!O57*$D$11,1)</f>
        <v>77.400000000000006</v>
      </c>
      <c r="E57" s="543">
        <f>ROUND('Table X12 Indices 2012=100'!P57*$E$11,1)</f>
        <v>88.9</v>
      </c>
      <c r="F57" s="508">
        <f>ROUND('Table X12 Indices 2012=100'!Q57*$F$11,1)</f>
        <v>90.9</v>
      </c>
      <c r="G57" s="544">
        <f>ROUND('Table X12 Indices 2012=100'!R57*$G$11,1)</f>
        <v>76.099999999999994</v>
      </c>
      <c r="H57" s="544"/>
      <c r="I57" s="542">
        <f>ROUND('Table X12 Indices 2012=100'!S57*$I$11,1)</f>
        <v>74.2</v>
      </c>
      <c r="J57" s="545">
        <f>ROUND('Table X12 Indices 2012=100'!T57*$J$11,1)</f>
        <v>83</v>
      </c>
      <c r="K57" s="546">
        <f>ROUND('Table X12 Indices 2012=100'!U57*$K$11,1)</f>
        <v>85.4</v>
      </c>
      <c r="L57" s="547">
        <f>ROUND('Table X12 Indices 2012=100'!V57*$L$11,1)</f>
        <v>85.3</v>
      </c>
      <c r="M57" s="431"/>
      <c r="N57" s="432"/>
    </row>
    <row r="58" spans="1:14" ht="18" customHeight="1" x14ac:dyDescent="0.25">
      <c r="A58" s="431"/>
      <c r="B58" s="490"/>
      <c r="C58" s="541">
        <f>ROUND('Table X12 Indices 2012=100'!N58*$C$11,1)</f>
        <v>84.4</v>
      </c>
      <c r="D58" s="542">
        <f>ROUND('Table X12 Indices 2012=100'!O58*$D$11,1)</f>
        <v>78.099999999999994</v>
      </c>
      <c r="E58" s="543">
        <f>ROUND('Table X12 Indices 2012=100'!P58*$E$11,1)</f>
        <v>89.5</v>
      </c>
      <c r="F58" s="508">
        <f>ROUND('Table X12 Indices 2012=100'!Q58*$F$11,1)</f>
        <v>90.3</v>
      </c>
      <c r="G58" s="544">
        <f>ROUND('Table X12 Indices 2012=100'!R58*$G$11,1)</f>
        <v>76.2</v>
      </c>
      <c r="H58" s="544"/>
      <c r="I58" s="542">
        <f>ROUND('Table X12 Indices 2012=100'!S58*$I$11,1)</f>
        <v>75.900000000000006</v>
      </c>
      <c r="J58" s="545">
        <f>ROUND('Table X12 Indices 2012=100'!T58*$J$11,1)</f>
        <v>82.9</v>
      </c>
      <c r="K58" s="546">
        <f>ROUND('Table X12 Indices 2012=100'!U58*$K$11,1)</f>
        <v>84.3</v>
      </c>
      <c r="L58" s="547">
        <f>ROUND('Table X12 Indices 2012=100'!V58*$L$11,1)</f>
        <v>84.2</v>
      </c>
      <c r="M58" s="431"/>
      <c r="N58" s="432"/>
    </row>
    <row r="59" spans="1:14" ht="18" customHeight="1" x14ac:dyDescent="0.25">
      <c r="A59" s="431"/>
      <c r="B59" s="490"/>
      <c r="C59" s="541">
        <f>ROUND('Table X12 Indices 2012=100'!N59*$C$11,1)</f>
        <v>84.7</v>
      </c>
      <c r="D59" s="542">
        <f>ROUND('Table X12 Indices 2012=100'!O59*$D$11,1)</f>
        <v>78.400000000000006</v>
      </c>
      <c r="E59" s="543">
        <f>ROUND('Table X12 Indices 2012=100'!P59*$E$11,1)</f>
        <v>89.7</v>
      </c>
      <c r="F59" s="508">
        <f>ROUND('Table X12 Indices 2012=100'!Q59*$F$11,1)</f>
        <v>90.1</v>
      </c>
      <c r="G59" s="544">
        <f>ROUND('Table X12 Indices 2012=100'!R59*$G$11,1)</f>
        <v>76.3</v>
      </c>
      <c r="H59" s="544"/>
      <c r="I59" s="542">
        <f>ROUND('Table X12 Indices 2012=100'!S59*$I$11,1)</f>
        <v>77.3</v>
      </c>
      <c r="J59" s="545">
        <f>ROUND('Table X12 Indices 2012=100'!T59*$J$11,1)</f>
        <v>83.1</v>
      </c>
      <c r="K59" s="546">
        <f>ROUND('Table X12 Indices 2012=100'!U59*$K$11,1)</f>
        <v>85.8</v>
      </c>
      <c r="L59" s="547">
        <f>ROUND('Table X12 Indices 2012=100'!V59*$L$11,1)</f>
        <v>85.6</v>
      </c>
      <c r="M59" s="431"/>
      <c r="N59" s="432"/>
    </row>
    <row r="60" spans="1:14" ht="18" customHeight="1" x14ac:dyDescent="0.25">
      <c r="A60" s="431"/>
      <c r="B60" s="490"/>
      <c r="C60" s="541">
        <f>ROUND('Table X12 Indices 2012=100'!N60*$C$11,1)</f>
        <v>84.9</v>
      </c>
      <c r="D60" s="542">
        <f>ROUND('Table X12 Indices 2012=100'!O60*$D$11,1)</f>
        <v>79.5</v>
      </c>
      <c r="E60" s="543">
        <f>ROUND('Table X12 Indices 2012=100'!P60*$E$11,1)</f>
        <v>89.1</v>
      </c>
      <c r="F60" s="508">
        <f>ROUND('Table X12 Indices 2012=100'!Q60*$F$11,1)</f>
        <v>90.1</v>
      </c>
      <c r="G60" s="544">
        <f>ROUND('Table X12 Indices 2012=100'!R60*$G$11,1)</f>
        <v>76.2</v>
      </c>
      <c r="H60" s="544"/>
      <c r="I60" s="542">
        <f>ROUND('Table X12 Indices 2012=100'!S60*$I$11,1)</f>
        <v>77.2</v>
      </c>
      <c r="J60" s="545">
        <f>ROUND('Table X12 Indices 2012=100'!T60*$J$11,1)</f>
        <v>83.1</v>
      </c>
      <c r="K60" s="546">
        <f>ROUND('Table X12 Indices 2012=100'!U60*$K$11,1)</f>
        <v>85.8</v>
      </c>
      <c r="L60" s="547">
        <f>ROUND('Table X12 Indices 2012=100'!V60*$L$11,1)</f>
        <v>85.6</v>
      </c>
      <c r="M60" s="431"/>
      <c r="N60" s="432"/>
    </row>
    <row r="61" spans="1:14" ht="18" customHeight="1" x14ac:dyDescent="0.25">
      <c r="A61" s="431"/>
      <c r="B61" s="490"/>
      <c r="C61" s="541">
        <f>ROUND('Table X12 Indices 2012=100'!N61*$C$11,1)</f>
        <v>85.4</v>
      </c>
      <c r="D61" s="542">
        <f>ROUND('Table X12 Indices 2012=100'!O61*$D$11,1)</f>
        <v>80.8</v>
      </c>
      <c r="E61" s="543">
        <f>ROUND('Table X12 Indices 2012=100'!P61*$E$11,1)</f>
        <v>89.5</v>
      </c>
      <c r="F61" s="508">
        <f>ROUND('Table X12 Indices 2012=100'!Q61*$F$11,1)</f>
        <v>93.6</v>
      </c>
      <c r="G61" s="544">
        <f>ROUND('Table X12 Indices 2012=100'!R61*$G$11,1)</f>
        <v>75.599999999999994</v>
      </c>
      <c r="H61" s="544"/>
      <c r="I61" s="542">
        <f>ROUND('Table X12 Indices 2012=100'!S61*$I$11,1)</f>
        <v>77</v>
      </c>
      <c r="J61" s="545">
        <f>ROUND('Table X12 Indices 2012=100'!T61*$J$11,1)</f>
        <v>82.9</v>
      </c>
      <c r="K61" s="546">
        <f>ROUND('Table X12 Indices 2012=100'!U61*$K$11,1)</f>
        <v>89</v>
      </c>
      <c r="L61" s="547">
        <f>ROUND('Table X12 Indices 2012=100'!V61*$L$11,1)</f>
        <v>88.9</v>
      </c>
      <c r="M61" s="431"/>
      <c r="N61" s="432"/>
    </row>
    <row r="62" spans="1:14" ht="18" customHeight="1" x14ac:dyDescent="0.25">
      <c r="A62" s="431"/>
      <c r="B62" s="490"/>
      <c r="C62" s="541">
        <f>ROUND('Table X12 Indices 2012=100'!N62*$C$11,1)</f>
        <v>86</v>
      </c>
      <c r="D62" s="542">
        <f>ROUND('Table X12 Indices 2012=100'!O62*$D$11,1)</f>
        <v>83.5</v>
      </c>
      <c r="E62" s="543">
        <f>ROUND('Table X12 Indices 2012=100'!P62*$E$11,1)</f>
        <v>91.7</v>
      </c>
      <c r="F62" s="508">
        <f>ROUND('Table X12 Indices 2012=100'!Q62*$F$11,1)</f>
        <v>98.5</v>
      </c>
      <c r="G62" s="544">
        <f>ROUND('Table X12 Indices 2012=100'!R62*$G$11,1)</f>
        <v>75.599999999999994</v>
      </c>
      <c r="H62" s="544"/>
      <c r="I62" s="542">
        <f>ROUND('Table X12 Indices 2012=100'!S62*$I$11,1)</f>
        <v>77.099999999999994</v>
      </c>
      <c r="J62" s="545">
        <f>ROUND('Table X12 Indices 2012=100'!T62*$J$11,1)</f>
        <v>83.1</v>
      </c>
      <c r="K62" s="546">
        <f>ROUND('Table X12 Indices 2012=100'!U62*$K$11,1)</f>
        <v>92.3</v>
      </c>
      <c r="L62" s="547">
        <f>ROUND('Table X12 Indices 2012=100'!V62*$L$11,1)</f>
        <v>92.3</v>
      </c>
      <c r="M62" s="431"/>
      <c r="N62" s="432"/>
    </row>
    <row r="63" spans="1:14" ht="18" customHeight="1" x14ac:dyDescent="0.25">
      <c r="A63" s="431"/>
      <c r="B63" s="490"/>
      <c r="C63" s="548">
        <f>ROUND('Table X12 Indices 2012=100'!N63*$C$11,1)</f>
        <v>86.2</v>
      </c>
      <c r="D63" s="549">
        <f>ROUND('Table X12 Indices 2012=100'!O63*$D$11,1)</f>
        <v>83.6</v>
      </c>
      <c r="E63" s="550">
        <f>ROUND('Table X12 Indices 2012=100'!P63*$E$11,1)</f>
        <v>94</v>
      </c>
      <c r="F63" s="523">
        <f>ROUND('Table X12 Indices 2012=100'!Q63*$F$11,1)</f>
        <v>100.1</v>
      </c>
      <c r="G63" s="551">
        <f>ROUND('Table X12 Indices 2012=100'!R63*$G$11,1)</f>
        <v>75.900000000000006</v>
      </c>
      <c r="H63" s="551"/>
      <c r="I63" s="549">
        <f>ROUND('Table X12 Indices 2012=100'!S63*$I$11,1)</f>
        <v>77.2</v>
      </c>
      <c r="J63" s="552">
        <f>ROUND('Table X12 Indices 2012=100'!T63*$J$11,1)</f>
        <v>83.5</v>
      </c>
      <c r="K63" s="553">
        <f>ROUND('Table X12 Indices 2012=100'!U63*$K$11,1)</f>
        <v>95.2</v>
      </c>
      <c r="L63" s="554">
        <f>ROUND('Table X12 Indices 2012=100'!V63*$L$11,1)</f>
        <v>96.7</v>
      </c>
      <c r="M63" s="431"/>
      <c r="N63" s="432"/>
    </row>
    <row r="64" spans="1:14" ht="18" customHeight="1" x14ac:dyDescent="0.25">
      <c r="A64" s="431"/>
      <c r="B64" s="490"/>
      <c r="C64" s="533">
        <f>ROUND('Table X12 Indices 2012=100'!N64*$C$11,1)</f>
        <v>86.5</v>
      </c>
      <c r="D64" s="534">
        <f>ROUND('Table X12 Indices 2012=100'!O64*$D$11,1)</f>
        <v>84</v>
      </c>
      <c r="E64" s="535">
        <f>ROUND('Table X12 Indices 2012=100'!P64*$E$11,1)</f>
        <v>94.3</v>
      </c>
      <c r="F64" s="536">
        <f>ROUND('Table X12 Indices 2012=100'!Q64*$F$11,1)</f>
        <v>97.6</v>
      </c>
      <c r="G64" s="537">
        <f>ROUND('Table X12 Indices 2012=100'!R64*$G$11,1)</f>
        <v>76</v>
      </c>
      <c r="H64" s="537"/>
      <c r="I64" s="534">
        <f>ROUND('Table X12 Indices 2012=100'!S64*$I$11,1)</f>
        <v>77.2</v>
      </c>
      <c r="J64" s="538">
        <f>ROUND('Table X12 Indices 2012=100'!T64*$J$11,1)</f>
        <v>83.4</v>
      </c>
      <c r="K64" s="539">
        <f>ROUND('Table X12 Indices 2012=100'!U64*$K$11,1)</f>
        <v>94.7</v>
      </c>
      <c r="L64" s="540">
        <f>ROUND('Table X12 Indices 2012=100'!V64*$L$11,1)</f>
        <v>94.8</v>
      </c>
      <c r="M64" s="431"/>
      <c r="N64" s="432"/>
    </row>
    <row r="65" spans="1:14" ht="18" customHeight="1" x14ac:dyDescent="0.25">
      <c r="A65" s="431"/>
      <c r="B65" s="490"/>
      <c r="C65" s="541">
        <f>ROUND('Table X12 Indices 2012=100'!N65*$C$11,1)</f>
        <v>87.3</v>
      </c>
      <c r="D65" s="542">
        <f>ROUND('Table X12 Indices 2012=100'!O65*$D$11,1)</f>
        <v>84.7</v>
      </c>
      <c r="E65" s="543">
        <f>ROUND('Table X12 Indices 2012=100'!P65*$E$11,1)</f>
        <v>96.1</v>
      </c>
      <c r="F65" s="508">
        <f>ROUND('Table X12 Indices 2012=100'!Q65*$F$11,1)</f>
        <v>97.5</v>
      </c>
      <c r="G65" s="544">
        <f>ROUND('Table X12 Indices 2012=100'!R65*$G$11,1)</f>
        <v>76.3</v>
      </c>
      <c r="H65" s="544"/>
      <c r="I65" s="542">
        <f>ROUND('Table X12 Indices 2012=100'!S65*$I$11,1)</f>
        <v>77.599999999999994</v>
      </c>
      <c r="J65" s="545">
        <f>ROUND('Table X12 Indices 2012=100'!T65*$J$11,1)</f>
        <v>83.5</v>
      </c>
      <c r="K65" s="546">
        <f>ROUND('Table X12 Indices 2012=100'!U65*$K$11,1)</f>
        <v>94.7</v>
      </c>
      <c r="L65" s="547">
        <f>ROUND('Table X12 Indices 2012=100'!V65*$L$11,1)</f>
        <v>94.7</v>
      </c>
      <c r="M65" s="431"/>
      <c r="N65" s="432"/>
    </row>
    <row r="66" spans="1:14" ht="18" customHeight="1" x14ac:dyDescent="0.25">
      <c r="A66" s="431"/>
      <c r="B66" s="490"/>
      <c r="C66" s="541">
        <f>ROUND('Table X12 Indices 2012=100'!N66*$C$11,1)</f>
        <v>87.9</v>
      </c>
      <c r="D66" s="542">
        <f>ROUND('Table X12 Indices 2012=100'!O66*$D$11,1)</f>
        <v>84.7</v>
      </c>
      <c r="E66" s="543">
        <f>ROUND('Table X12 Indices 2012=100'!P66*$E$11,1)</f>
        <v>95.8</v>
      </c>
      <c r="F66" s="508">
        <f>ROUND('Table X12 Indices 2012=100'!Q66*$F$11,1)</f>
        <v>98.7</v>
      </c>
      <c r="G66" s="544">
        <f>ROUND('Table X12 Indices 2012=100'!R66*$G$11,1)</f>
        <v>75.8</v>
      </c>
      <c r="H66" s="544"/>
      <c r="I66" s="542">
        <f>ROUND('Table X12 Indices 2012=100'!S66*$I$11,1)</f>
        <v>77.400000000000006</v>
      </c>
      <c r="J66" s="545">
        <f>ROUND('Table X12 Indices 2012=100'!T66*$J$11,1)</f>
        <v>83.4</v>
      </c>
      <c r="K66" s="546">
        <f>ROUND('Table X12 Indices 2012=100'!U66*$K$11,1)</f>
        <v>95.6</v>
      </c>
      <c r="L66" s="547">
        <f>ROUND('Table X12 Indices 2012=100'!V66*$L$11,1)</f>
        <v>95.7</v>
      </c>
      <c r="M66" s="431"/>
      <c r="N66" s="432"/>
    </row>
    <row r="67" spans="1:14" ht="18" customHeight="1" x14ac:dyDescent="0.25">
      <c r="A67" s="431"/>
      <c r="B67" s="490"/>
      <c r="C67" s="541">
        <f>ROUND('Table X12 Indices 2012=100'!N67*$C$11,1)</f>
        <v>87.8</v>
      </c>
      <c r="D67" s="542">
        <f>ROUND('Table X12 Indices 2012=100'!O67*$D$11,1)</f>
        <v>84.7</v>
      </c>
      <c r="E67" s="543">
        <f>ROUND('Table X12 Indices 2012=100'!P67*$E$11,1)</f>
        <v>95.8</v>
      </c>
      <c r="F67" s="508">
        <f>ROUND('Table X12 Indices 2012=100'!Q67*$F$11,1)</f>
        <v>100.7</v>
      </c>
      <c r="G67" s="544">
        <f>ROUND('Table X12 Indices 2012=100'!R67*$G$11,1)</f>
        <v>76</v>
      </c>
      <c r="H67" s="544"/>
      <c r="I67" s="542">
        <f>ROUND('Table X12 Indices 2012=100'!S67*$I$11,1)</f>
        <v>78.7</v>
      </c>
      <c r="J67" s="545">
        <f>ROUND('Table X12 Indices 2012=100'!T67*$J$11,1)</f>
        <v>85</v>
      </c>
      <c r="K67" s="546">
        <f>ROUND('Table X12 Indices 2012=100'!U67*$K$11,1)</f>
        <v>100.3</v>
      </c>
      <c r="L67" s="547">
        <f>ROUND('Table X12 Indices 2012=100'!V67*$L$11,1)</f>
        <v>100.1</v>
      </c>
      <c r="M67" s="431"/>
      <c r="N67" s="432"/>
    </row>
    <row r="68" spans="1:14" ht="18" customHeight="1" x14ac:dyDescent="0.25">
      <c r="A68" s="431"/>
      <c r="B68" s="490"/>
      <c r="C68" s="541">
        <f>ROUND('Table X12 Indices 2012=100'!N68*$C$11,1)</f>
        <v>87.5</v>
      </c>
      <c r="D68" s="542">
        <f>ROUND('Table X12 Indices 2012=100'!O68*$D$11,1)</f>
        <v>84.3</v>
      </c>
      <c r="E68" s="543">
        <f>ROUND('Table X12 Indices 2012=100'!P68*$E$11,1)</f>
        <v>97.6</v>
      </c>
      <c r="F68" s="508">
        <f>ROUND('Table X12 Indices 2012=100'!Q68*$F$11,1)</f>
        <v>101.7</v>
      </c>
      <c r="G68" s="544">
        <f>ROUND('Table X12 Indices 2012=100'!R68*$G$11,1)</f>
        <v>76.7</v>
      </c>
      <c r="H68" s="544"/>
      <c r="I68" s="542">
        <f>ROUND('Table X12 Indices 2012=100'!S68*$I$11,1)</f>
        <v>79</v>
      </c>
      <c r="J68" s="545">
        <f>ROUND('Table X12 Indices 2012=100'!T68*$J$11,1)</f>
        <v>85.3</v>
      </c>
      <c r="K68" s="546">
        <f>ROUND('Table X12 Indices 2012=100'!U68*$K$11,1)</f>
        <v>101.2</v>
      </c>
      <c r="L68" s="547">
        <f>ROUND('Table X12 Indices 2012=100'!V68*$L$11,1)</f>
        <v>101</v>
      </c>
      <c r="M68" s="431"/>
      <c r="N68" s="432"/>
    </row>
    <row r="69" spans="1:14" ht="18" customHeight="1" x14ac:dyDescent="0.25">
      <c r="A69" s="431"/>
      <c r="B69" s="490"/>
      <c r="C69" s="541">
        <f>ROUND('Table X12 Indices 2012=100'!N69*$C$11,1)</f>
        <v>87.4</v>
      </c>
      <c r="D69" s="542">
        <f>ROUND('Table X12 Indices 2012=100'!O69*$D$11,1)</f>
        <v>84.3</v>
      </c>
      <c r="E69" s="543">
        <f>ROUND('Table X12 Indices 2012=100'!P69*$E$11,1)</f>
        <v>97.9</v>
      </c>
      <c r="F69" s="508">
        <f>ROUND('Table X12 Indices 2012=100'!Q69*$F$11,1)</f>
        <v>97.8</v>
      </c>
      <c r="G69" s="544">
        <f>ROUND('Table X12 Indices 2012=100'!R69*$G$11,1)</f>
        <v>76.8</v>
      </c>
      <c r="H69" s="544"/>
      <c r="I69" s="542">
        <f>ROUND('Table X12 Indices 2012=100'!S69*$I$11,1)</f>
        <v>79.099999999999994</v>
      </c>
      <c r="J69" s="545">
        <f>ROUND('Table X12 Indices 2012=100'!T69*$J$11,1)</f>
        <v>85.6</v>
      </c>
      <c r="K69" s="546">
        <f>ROUND('Table X12 Indices 2012=100'!U69*$K$11,1)</f>
        <v>98.9</v>
      </c>
      <c r="L69" s="547">
        <f>ROUND('Table X12 Indices 2012=100'!V69*$L$11,1)</f>
        <v>99</v>
      </c>
      <c r="M69" s="431"/>
      <c r="N69" s="432"/>
    </row>
    <row r="70" spans="1:14" ht="18" customHeight="1" x14ac:dyDescent="0.25">
      <c r="A70" s="431"/>
      <c r="B70" s="490"/>
      <c r="C70" s="541">
        <f>ROUND('Table X12 Indices 2012=100'!N70*$C$11,1)</f>
        <v>87.6</v>
      </c>
      <c r="D70" s="542">
        <f>ROUND('Table X12 Indices 2012=100'!O70*$D$11,1)</f>
        <v>84.6</v>
      </c>
      <c r="E70" s="543">
        <f>ROUND('Table X12 Indices 2012=100'!P70*$E$11,1)</f>
        <v>98.2</v>
      </c>
      <c r="F70" s="508">
        <f>ROUND('Table X12 Indices 2012=100'!Q70*$F$11,1)</f>
        <v>90.4</v>
      </c>
      <c r="G70" s="544">
        <f>ROUND('Table X12 Indices 2012=100'!R70*$G$11,1)</f>
        <v>77</v>
      </c>
      <c r="H70" s="544"/>
      <c r="I70" s="542">
        <f>ROUND('Table X12 Indices 2012=100'!S70*$I$11,1)</f>
        <v>79.5</v>
      </c>
      <c r="J70" s="545">
        <f>ROUND('Table X12 Indices 2012=100'!T70*$J$11,1)</f>
        <v>85.6</v>
      </c>
      <c r="K70" s="546">
        <f>ROUND('Table X12 Indices 2012=100'!U70*$K$11,1)</f>
        <v>93.2</v>
      </c>
      <c r="L70" s="547">
        <f>ROUND('Table X12 Indices 2012=100'!V70*$L$11,1)</f>
        <v>92.8</v>
      </c>
      <c r="M70" s="431"/>
      <c r="N70" s="432"/>
    </row>
    <row r="71" spans="1:14" ht="18" customHeight="1" x14ac:dyDescent="0.25">
      <c r="A71" s="431"/>
      <c r="B71" s="490"/>
      <c r="C71" s="541">
        <f>ROUND('Table X12 Indices 2012=100'!N71*$C$11,1)</f>
        <v>87.8</v>
      </c>
      <c r="D71" s="542">
        <f>ROUND('Table X12 Indices 2012=100'!O71*$D$11,1)</f>
        <v>84.6</v>
      </c>
      <c r="E71" s="543">
        <f>ROUND('Table X12 Indices 2012=100'!P71*$E$11,1)</f>
        <v>98</v>
      </c>
      <c r="F71" s="508">
        <f>ROUND('Table X12 Indices 2012=100'!Q71*$F$11,1)</f>
        <v>92.5</v>
      </c>
      <c r="G71" s="544">
        <f>ROUND('Table X12 Indices 2012=100'!R71*$G$11,1)</f>
        <v>77.2</v>
      </c>
      <c r="H71" s="544"/>
      <c r="I71" s="542">
        <f>ROUND('Table X12 Indices 2012=100'!S71*$I$11,1)</f>
        <v>79.099999999999994</v>
      </c>
      <c r="J71" s="545">
        <f>ROUND('Table X12 Indices 2012=100'!T71*$J$11,1)</f>
        <v>85.8</v>
      </c>
      <c r="K71" s="546">
        <f>ROUND('Table X12 Indices 2012=100'!U71*$K$11,1)</f>
        <v>94.5</v>
      </c>
      <c r="L71" s="547">
        <f>ROUND('Table X12 Indices 2012=100'!V71*$L$11,1)</f>
        <v>94.1</v>
      </c>
      <c r="M71" s="431"/>
      <c r="N71" s="432"/>
    </row>
    <row r="72" spans="1:14" ht="18" customHeight="1" x14ac:dyDescent="0.25">
      <c r="A72" s="431"/>
      <c r="B72" s="490"/>
      <c r="C72" s="541">
        <f>ROUND('Table X12 Indices 2012=100'!N72*$C$11,1)</f>
        <v>87.7</v>
      </c>
      <c r="D72" s="542">
        <f>ROUND('Table X12 Indices 2012=100'!O72*$D$11,1)</f>
        <v>84.6</v>
      </c>
      <c r="E72" s="543">
        <f>ROUND('Table X12 Indices 2012=100'!P72*$E$11,1)</f>
        <v>97.8</v>
      </c>
      <c r="F72" s="508">
        <f>ROUND('Table X12 Indices 2012=100'!Q72*$F$11,1)</f>
        <v>98.4</v>
      </c>
      <c r="G72" s="544">
        <f>ROUND('Table X12 Indices 2012=100'!R72*$G$11,1)</f>
        <v>77.5</v>
      </c>
      <c r="H72" s="544"/>
      <c r="I72" s="542">
        <f>ROUND('Table X12 Indices 2012=100'!S72*$I$11,1)</f>
        <v>80.599999999999994</v>
      </c>
      <c r="J72" s="545">
        <f>ROUND('Table X12 Indices 2012=100'!T72*$J$11,1)</f>
        <v>85.8</v>
      </c>
      <c r="K72" s="546">
        <f>ROUND('Table X12 Indices 2012=100'!U72*$K$11,1)</f>
        <v>100.9</v>
      </c>
      <c r="L72" s="547">
        <f>ROUND('Table X12 Indices 2012=100'!V72*$L$11,1)</f>
        <v>100.6</v>
      </c>
      <c r="M72" s="431"/>
      <c r="N72" s="432"/>
    </row>
    <row r="73" spans="1:14" ht="18" customHeight="1" x14ac:dyDescent="0.25">
      <c r="A73" s="431"/>
      <c r="B73" s="490"/>
      <c r="C73" s="541">
        <f>ROUND('Table X12 Indices 2012=100'!N73*$C$11,1)</f>
        <v>87.4</v>
      </c>
      <c r="D73" s="542">
        <f>ROUND('Table X12 Indices 2012=100'!O73*$D$11,1)</f>
        <v>83.4</v>
      </c>
      <c r="E73" s="543">
        <f>ROUND('Table X12 Indices 2012=100'!P73*$E$11,1)</f>
        <v>97.9</v>
      </c>
      <c r="F73" s="508">
        <f>ROUND('Table X12 Indices 2012=100'!Q73*$F$11,1)</f>
        <v>103.3</v>
      </c>
      <c r="G73" s="544">
        <f>ROUND('Table X12 Indices 2012=100'!R73*$G$11,1)</f>
        <v>77.5</v>
      </c>
      <c r="H73" s="544"/>
      <c r="I73" s="542">
        <f>ROUND('Table X12 Indices 2012=100'!S73*$I$11,1)</f>
        <v>80.900000000000006</v>
      </c>
      <c r="J73" s="545">
        <f>ROUND('Table X12 Indices 2012=100'!T73*$J$11,1)</f>
        <v>86.2</v>
      </c>
      <c r="K73" s="546">
        <f>ROUND('Table X12 Indices 2012=100'!U73*$K$11,1)</f>
        <v>101.4</v>
      </c>
      <c r="L73" s="547">
        <f>ROUND('Table X12 Indices 2012=100'!V73*$L$11,1)</f>
        <v>104.3</v>
      </c>
      <c r="M73" s="431"/>
      <c r="N73" s="432"/>
    </row>
    <row r="74" spans="1:14" ht="18" customHeight="1" x14ac:dyDescent="0.25">
      <c r="A74" s="431"/>
      <c r="B74" s="490"/>
      <c r="C74" s="541">
        <f>ROUND('Table X12 Indices 2012=100'!N74*$C$11,1)</f>
        <v>87.7</v>
      </c>
      <c r="D74" s="542">
        <f>ROUND('Table X12 Indices 2012=100'!O74*$D$11,1)</f>
        <v>83.4</v>
      </c>
      <c r="E74" s="543">
        <f>ROUND('Table X12 Indices 2012=100'!P74*$E$11,1)</f>
        <v>98.6</v>
      </c>
      <c r="F74" s="508">
        <f>ROUND('Table X12 Indices 2012=100'!Q74*$F$11,1)</f>
        <v>104.8</v>
      </c>
      <c r="G74" s="544">
        <f>ROUND('Table X12 Indices 2012=100'!R74*$G$11,1)</f>
        <v>77.8</v>
      </c>
      <c r="H74" s="544"/>
      <c r="I74" s="542">
        <f>ROUND('Table X12 Indices 2012=100'!S74*$I$11,1)</f>
        <v>81.3</v>
      </c>
      <c r="J74" s="545">
        <f>ROUND('Table X12 Indices 2012=100'!T74*$J$11,1)</f>
        <v>86.5</v>
      </c>
      <c r="K74" s="546">
        <f>ROUND('Table X12 Indices 2012=100'!U74*$K$11,1)</f>
        <v>103.8</v>
      </c>
      <c r="L74" s="547">
        <f>ROUND('Table X12 Indices 2012=100'!V74*$L$11,1)</f>
        <v>105.2</v>
      </c>
      <c r="M74" s="431"/>
      <c r="N74" s="432"/>
    </row>
    <row r="75" spans="1:14" ht="18" customHeight="1" thickBot="1" x14ac:dyDescent="0.3">
      <c r="A75" s="431"/>
      <c r="B75" s="490"/>
      <c r="C75" s="557">
        <f>ROUND('Table X12 Indices 2012=100'!N75*$C$11,1)</f>
        <v>87.9</v>
      </c>
      <c r="D75" s="558">
        <f>ROUND('Table X12 Indices 2012=100'!O75*$D$11,1)</f>
        <v>84.3</v>
      </c>
      <c r="E75" s="559">
        <f>ROUND('Table X12 Indices 2012=100'!P75*$E$11,1)</f>
        <v>99.5</v>
      </c>
      <c r="F75" s="560">
        <f>ROUND('Table X12 Indices 2012=100'!Q75*$F$11,1)</f>
        <v>104</v>
      </c>
      <c r="G75" s="561">
        <f>ROUND('Table X12 Indices 2012=100'!R75*$G$11,1)</f>
        <v>78.099999999999994</v>
      </c>
      <c r="H75" s="561"/>
      <c r="I75" s="558">
        <f>ROUND('Table X12 Indices 2012=100'!S75*$I$11,1)</f>
        <v>81.400000000000006</v>
      </c>
      <c r="J75" s="562">
        <f>ROUND('Table X12 Indices 2012=100'!T75*$J$11,1)</f>
        <v>86.7</v>
      </c>
      <c r="K75" s="563">
        <f>ROUND('Table X12 Indices 2012=100'!U75*$K$11,1)</f>
        <v>103.3</v>
      </c>
      <c r="L75" s="564">
        <f>ROUND('Table X12 Indices 2012=100'!V75*$L$11,1)</f>
        <v>104.7</v>
      </c>
      <c r="M75" s="431"/>
      <c r="N75" s="565" t="s">
        <v>127</v>
      </c>
    </row>
    <row r="76" spans="1:14" ht="18" customHeight="1" thickTop="1" x14ac:dyDescent="0.25">
      <c r="A76" s="431"/>
      <c r="B76" s="490"/>
      <c r="C76" s="567">
        <f>ROUND('Table X12 Indices 2012=100'!N76*$C$11,1)</f>
        <v>89.1</v>
      </c>
      <c r="D76" s="568">
        <f>ROUND('Table X12 Indices 2012=100'!O76*$D$11,1)</f>
        <v>87</v>
      </c>
      <c r="E76" s="569">
        <f>ROUND('Table X12 Indices 2012=100'!P76*$E$11,1)</f>
        <v>101.6</v>
      </c>
      <c r="F76" s="494">
        <f>ROUND('Table X12 Indices 2012=100'!Q76*$F$11,1)</f>
        <v>101.5</v>
      </c>
      <c r="G76" s="570">
        <f>ROUND('Table X12 Indices 2012=100'!R76*$G$11,1)</f>
        <v>78.7</v>
      </c>
      <c r="H76" s="570"/>
      <c r="I76" s="568">
        <f>ROUND('Table X12 Indices 2012=100'!S76*$I$11,1)</f>
        <v>81.8</v>
      </c>
      <c r="J76" s="569">
        <f>ROUND('Table X12 Indices 2012=100'!T76*$J$11,1)</f>
        <v>87.3</v>
      </c>
      <c r="K76" s="571">
        <f>ROUND('Table X12 Indices 2012=100'!U76*$K$11,1)</f>
        <v>100.8</v>
      </c>
      <c r="L76" s="572">
        <f>ROUND('Table X12 Indices 2012=100'!V76*$L$11,1)</f>
        <v>102.2</v>
      </c>
      <c r="M76" s="431"/>
      <c r="N76" s="432" t="s">
        <v>128</v>
      </c>
    </row>
    <row r="77" spans="1:14" ht="18" customHeight="1" x14ac:dyDescent="0.25">
      <c r="A77" s="431"/>
      <c r="B77" s="490"/>
      <c r="C77" s="541">
        <f>ROUND('Table X12 Indices 2012=100'!N77*$C$11,1)</f>
        <v>89.5</v>
      </c>
      <c r="D77" s="542">
        <f>ROUND('Table X12 Indices 2012=100'!O77*$D$11,1)</f>
        <v>88.4</v>
      </c>
      <c r="E77" s="543">
        <f>ROUND('Table X12 Indices 2012=100'!P77*$E$11,1)</f>
        <v>102.2</v>
      </c>
      <c r="F77" s="508">
        <f>ROUND('Table X12 Indices 2012=100'!Q77*$F$11,1)</f>
        <v>103</v>
      </c>
      <c r="G77" s="544">
        <f>ROUND('Table X12 Indices 2012=100'!R77*$G$11,1)</f>
        <v>78.8</v>
      </c>
      <c r="H77" s="544"/>
      <c r="I77" s="542">
        <f>ROUND('Table X12 Indices 2012=100'!S77*$I$11,1)</f>
        <v>81.8</v>
      </c>
      <c r="J77" s="543">
        <f>ROUND('Table X12 Indices 2012=100'!T77*$J$11,1)</f>
        <v>87.3</v>
      </c>
      <c r="K77" s="546">
        <f>ROUND('Table X12 Indices 2012=100'!U77*$K$11,1)</f>
        <v>102.3</v>
      </c>
      <c r="L77" s="547">
        <f>ROUND('Table X12 Indices 2012=100'!V77*$L$11,1)</f>
        <v>103.8</v>
      </c>
      <c r="M77" s="431"/>
      <c r="N77" s="432"/>
    </row>
    <row r="78" spans="1:14" ht="18" customHeight="1" x14ac:dyDescent="0.25">
      <c r="A78" s="431"/>
      <c r="B78" s="490"/>
      <c r="C78" s="541">
        <f>ROUND('Table X12 Indices 2012=100'!N78*$C$11,1)</f>
        <v>90.3</v>
      </c>
      <c r="D78" s="542">
        <f>ROUND('Table X12 Indices 2012=100'!O78*$D$11,1)</f>
        <v>88.1</v>
      </c>
      <c r="E78" s="543">
        <f>ROUND('Table X12 Indices 2012=100'!P78*$E$11,1)</f>
        <v>102</v>
      </c>
      <c r="F78" s="508">
        <f>ROUND('Table X12 Indices 2012=100'!Q78*$F$11,1)</f>
        <v>108.4</v>
      </c>
      <c r="G78" s="544">
        <f>ROUND('Table X12 Indices 2012=100'!R78*$G$11,1)</f>
        <v>79.7</v>
      </c>
      <c r="H78" s="544"/>
      <c r="I78" s="542">
        <f>ROUND('Table X12 Indices 2012=100'!S78*$I$11,1)</f>
        <v>82.1</v>
      </c>
      <c r="J78" s="543">
        <f>ROUND('Table X12 Indices 2012=100'!T78*$J$11,1)</f>
        <v>88.3</v>
      </c>
      <c r="K78" s="546">
        <f>ROUND('Table X12 Indices 2012=100'!U78*$K$11,1)</f>
        <v>107.7</v>
      </c>
      <c r="L78" s="547">
        <f>ROUND('Table X12 Indices 2012=100'!V78*$L$11,1)</f>
        <v>109.3</v>
      </c>
      <c r="M78" s="431"/>
      <c r="N78" s="432"/>
    </row>
    <row r="79" spans="1:14" ht="18" customHeight="1" x14ac:dyDescent="0.25">
      <c r="A79" s="431"/>
      <c r="B79" s="490"/>
      <c r="C79" s="541">
        <f>ROUND('Table X12 Indices 2012=100'!N79*$C$11,1)</f>
        <v>91</v>
      </c>
      <c r="D79" s="542">
        <f>ROUND('Table X12 Indices 2012=100'!O79*$D$11,1)</f>
        <v>89.6</v>
      </c>
      <c r="E79" s="543">
        <f>ROUND('Table X12 Indices 2012=100'!P79*$E$11,1)</f>
        <v>102.7</v>
      </c>
      <c r="F79" s="508">
        <f>ROUND('Table X12 Indices 2012=100'!Q79*$F$11,1)</f>
        <v>109.2</v>
      </c>
      <c r="G79" s="544">
        <f>ROUND('Table X12 Indices 2012=100'!R79*$G$11,1)</f>
        <v>79.8</v>
      </c>
      <c r="H79" s="544"/>
      <c r="I79" s="542">
        <f>ROUND('Table X12 Indices 2012=100'!S79*$I$11,1)</f>
        <v>82.2</v>
      </c>
      <c r="J79" s="543">
        <f>ROUND('Table X12 Indices 2012=100'!T79*$J$11,1)</f>
        <v>88.3</v>
      </c>
      <c r="K79" s="546">
        <f>ROUND('Table X12 Indices 2012=100'!U79*$K$11,1)</f>
        <v>108.5</v>
      </c>
      <c r="L79" s="547">
        <f>ROUND('Table X12 Indices 2012=100'!V79*$L$11,1)</f>
        <v>110</v>
      </c>
      <c r="M79" s="431"/>
      <c r="N79" s="432"/>
    </row>
    <row r="80" spans="1:14" ht="18" customHeight="1" x14ac:dyDescent="0.25">
      <c r="A80" s="431"/>
      <c r="B80" s="490"/>
      <c r="C80" s="541">
        <f>ROUND('Table X12 Indices 2012=100'!N80*$C$11,1)</f>
        <v>91.2</v>
      </c>
      <c r="D80" s="542">
        <f>ROUND('Table X12 Indices 2012=100'!O80*$D$11,1)</f>
        <v>90.4</v>
      </c>
      <c r="E80" s="543">
        <f>ROUND('Table X12 Indices 2012=100'!P80*$E$11,1)</f>
        <v>104.2</v>
      </c>
      <c r="F80" s="508">
        <f>ROUND('Table X12 Indices 2012=100'!Q80*$F$11,1)</f>
        <v>104.1</v>
      </c>
      <c r="G80" s="544">
        <f>ROUND('Table X12 Indices 2012=100'!R80*$G$11,1)</f>
        <v>80.400000000000006</v>
      </c>
      <c r="H80" s="544"/>
      <c r="I80" s="542">
        <f>ROUND('Table X12 Indices 2012=100'!S80*$I$11,1)</f>
        <v>82.6</v>
      </c>
      <c r="J80" s="543">
        <f>ROUND('Table X12 Indices 2012=100'!T80*$J$11,1)</f>
        <v>88.6</v>
      </c>
      <c r="K80" s="546">
        <f>ROUND('Table X12 Indices 2012=100'!U80*$K$11,1)</f>
        <v>103.5</v>
      </c>
      <c r="L80" s="547">
        <f>ROUND('Table X12 Indices 2012=100'!V80*$L$11,1)</f>
        <v>104.7</v>
      </c>
      <c r="M80" s="431"/>
      <c r="N80" s="432"/>
    </row>
    <row r="81" spans="1:14" ht="18" customHeight="1" x14ac:dyDescent="0.25">
      <c r="A81" s="431"/>
      <c r="B81" s="490"/>
      <c r="C81" s="541">
        <f>ROUND('Table X12 Indices 2012=100'!N81*$C$11,1)</f>
        <v>91.9</v>
      </c>
      <c r="D81" s="542">
        <f>ROUND('Table X12 Indices 2012=100'!O81*$D$11,1)</f>
        <v>90.5</v>
      </c>
      <c r="E81" s="543">
        <f>ROUND('Table X12 Indices 2012=100'!P81*$E$11,1)</f>
        <v>105.4</v>
      </c>
      <c r="F81" s="508">
        <f>ROUND('Table X12 Indices 2012=100'!Q81*$F$11,1)</f>
        <v>103.7</v>
      </c>
      <c r="G81" s="544">
        <f>ROUND('Table X12 Indices 2012=100'!R81*$G$11,1)</f>
        <v>81.099999999999994</v>
      </c>
      <c r="H81" s="544"/>
      <c r="I81" s="542">
        <f>ROUND('Table X12 Indices 2012=100'!S81*$I$11,1)</f>
        <v>83</v>
      </c>
      <c r="J81" s="543">
        <f>ROUND('Table X12 Indices 2012=100'!T81*$J$11,1)</f>
        <v>89.3</v>
      </c>
      <c r="K81" s="546">
        <f>ROUND('Table X12 Indices 2012=100'!U81*$K$11,1)</f>
        <v>103.1</v>
      </c>
      <c r="L81" s="547">
        <f>ROUND('Table X12 Indices 2012=100'!V81*$L$11,1)</f>
        <v>104.3</v>
      </c>
      <c r="M81" s="431"/>
      <c r="N81" s="432"/>
    </row>
    <row r="82" spans="1:14" ht="18" customHeight="1" x14ac:dyDescent="0.25">
      <c r="A82" s="431"/>
      <c r="B82" s="490"/>
      <c r="C82" s="541">
        <f>ROUND('Table X12 Indices 2012=100'!N82*$C$11,1)</f>
        <v>92.3</v>
      </c>
      <c r="D82" s="542">
        <f>ROUND('Table X12 Indices 2012=100'!O82*$D$11,1)</f>
        <v>90.5</v>
      </c>
      <c r="E82" s="543">
        <f>ROUND('Table X12 Indices 2012=100'!P82*$E$11,1)</f>
        <v>106.4</v>
      </c>
      <c r="F82" s="508">
        <f>ROUND('Table X12 Indices 2012=100'!Q82*$F$11,1)</f>
        <v>111</v>
      </c>
      <c r="G82" s="544">
        <f>ROUND('Table X12 Indices 2012=100'!R82*$G$11,1)</f>
        <v>82.4</v>
      </c>
      <c r="H82" s="544"/>
      <c r="I82" s="542">
        <f>ROUND('Table X12 Indices 2012=100'!S82*$I$11,1)</f>
        <v>84.8</v>
      </c>
      <c r="J82" s="543">
        <f>ROUND('Table X12 Indices 2012=100'!T82*$J$11,1)</f>
        <v>90.5</v>
      </c>
      <c r="K82" s="546">
        <f>ROUND('Table X12 Indices 2012=100'!U82*$K$11,1)</f>
        <v>110.2</v>
      </c>
      <c r="L82" s="547">
        <f>ROUND('Table X12 Indices 2012=100'!V82*$L$11,1)</f>
        <v>111.8</v>
      </c>
      <c r="M82" s="431"/>
      <c r="N82" s="432"/>
    </row>
    <row r="83" spans="1:14" ht="18" customHeight="1" x14ac:dyDescent="0.25">
      <c r="A83" s="431"/>
      <c r="B83" s="490"/>
      <c r="C83" s="541">
        <f>ROUND('Table X12 Indices 2012=100'!N83*$C$11,1)</f>
        <v>92.5</v>
      </c>
      <c r="D83" s="542">
        <f>ROUND('Table X12 Indices 2012=100'!O83*$D$11,1)</f>
        <v>90.3</v>
      </c>
      <c r="E83" s="543">
        <f>ROUND('Table X12 Indices 2012=100'!P83*$E$11,1)</f>
        <v>106.1</v>
      </c>
      <c r="F83" s="508">
        <f>ROUND('Table X12 Indices 2012=100'!Q83*$F$11,1)</f>
        <v>114</v>
      </c>
      <c r="G83" s="544">
        <f>ROUND('Table X12 Indices 2012=100'!R83*$G$11,1)</f>
        <v>83.2</v>
      </c>
      <c r="H83" s="544"/>
      <c r="I83" s="542">
        <f>ROUND('Table X12 Indices 2012=100'!S83*$I$11,1)</f>
        <v>85.2</v>
      </c>
      <c r="J83" s="543">
        <f>ROUND('Table X12 Indices 2012=100'!T83*$J$11,1)</f>
        <v>90.9</v>
      </c>
      <c r="K83" s="546">
        <f>ROUND('Table X12 Indices 2012=100'!U83*$K$11,1)</f>
        <v>113.2</v>
      </c>
      <c r="L83" s="547">
        <f>ROUND('Table X12 Indices 2012=100'!V83*$L$11,1)</f>
        <v>114.8</v>
      </c>
      <c r="M83" s="431"/>
      <c r="N83" s="432"/>
    </row>
    <row r="84" spans="1:14" ht="18" customHeight="1" x14ac:dyDescent="0.25">
      <c r="A84" s="431"/>
      <c r="B84" s="490"/>
      <c r="C84" s="541">
        <f>ROUND('Table X12 Indices 2012=100'!N84*$C$11,1)</f>
        <v>92</v>
      </c>
      <c r="D84" s="542">
        <f>ROUND('Table X12 Indices 2012=100'!O84*$D$11,1)</f>
        <v>90.3</v>
      </c>
      <c r="E84" s="543">
        <f>ROUND('Table X12 Indices 2012=100'!P84*$E$11,1)</f>
        <v>105.4</v>
      </c>
      <c r="F84" s="508">
        <f>ROUND('Table X12 Indices 2012=100'!Q84*$F$11,1)</f>
        <v>115.3</v>
      </c>
      <c r="G84" s="544">
        <f>ROUND('Table X12 Indices 2012=100'!R84*$G$11,1)</f>
        <v>83.5</v>
      </c>
      <c r="H84" s="544"/>
      <c r="I84" s="542">
        <f>ROUND('Table X12 Indices 2012=100'!S84*$I$11,1)</f>
        <v>85.3</v>
      </c>
      <c r="J84" s="543">
        <f>ROUND('Table X12 Indices 2012=100'!T84*$J$11,1)</f>
        <v>91.2</v>
      </c>
      <c r="K84" s="546">
        <f>ROUND('Table X12 Indices 2012=100'!U84*$K$11,1)</f>
        <v>114.4</v>
      </c>
      <c r="L84" s="547">
        <f>ROUND('Table X12 Indices 2012=100'!V84*$L$11,1)</f>
        <v>116.1</v>
      </c>
      <c r="M84" s="431"/>
      <c r="N84" s="432"/>
    </row>
    <row r="85" spans="1:14" ht="18" customHeight="1" x14ac:dyDescent="0.25">
      <c r="A85" s="431"/>
      <c r="B85" s="490"/>
      <c r="C85" s="541">
        <f>ROUND('Table X12 Indices 2012=100'!N85*$C$11,1)</f>
        <v>92.1</v>
      </c>
      <c r="D85" s="542">
        <f>ROUND('Table X12 Indices 2012=100'!O85*$D$11,1)</f>
        <v>90.4</v>
      </c>
      <c r="E85" s="543">
        <f>ROUND('Table X12 Indices 2012=100'!P85*$E$11,1)</f>
        <v>105.5</v>
      </c>
      <c r="F85" s="508">
        <f>ROUND('Table X12 Indices 2012=100'!Q85*$F$11,1)</f>
        <v>115.1</v>
      </c>
      <c r="G85" s="544">
        <f>ROUND('Table X12 Indices 2012=100'!R85*$G$11,1)</f>
        <v>84.2</v>
      </c>
      <c r="H85" s="544"/>
      <c r="I85" s="542">
        <f>ROUND('Table X12 Indices 2012=100'!S85*$I$11,1)</f>
        <v>85.8</v>
      </c>
      <c r="J85" s="543">
        <f>ROUND('Table X12 Indices 2012=100'!T85*$J$11,1)</f>
        <v>91.7</v>
      </c>
      <c r="K85" s="546">
        <f>ROUND('Table X12 Indices 2012=100'!U85*$K$11,1)</f>
        <v>114.2</v>
      </c>
      <c r="L85" s="547">
        <f>ROUND('Table X12 Indices 2012=100'!V85*$L$11,1)</f>
        <v>115.9</v>
      </c>
      <c r="M85" s="431"/>
      <c r="N85" s="432"/>
    </row>
    <row r="86" spans="1:14" ht="18" customHeight="1" x14ac:dyDescent="0.25">
      <c r="A86" s="431"/>
      <c r="B86" s="490"/>
      <c r="C86" s="541">
        <f>ROUND('Table X12 Indices 2012=100'!N86*$C$11,1)</f>
        <v>92</v>
      </c>
      <c r="D86" s="542">
        <f>ROUND('Table X12 Indices 2012=100'!O86*$D$11,1)</f>
        <v>90.3</v>
      </c>
      <c r="E86" s="543">
        <f>ROUND('Table X12 Indices 2012=100'!P86*$E$11,1)</f>
        <v>104.9</v>
      </c>
      <c r="F86" s="508">
        <f>ROUND('Table X12 Indices 2012=100'!Q86*$F$11,1)</f>
        <v>113.6</v>
      </c>
      <c r="G86" s="544">
        <f>ROUND('Table X12 Indices 2012=100'!R86*$G$11,1)</f>
        <v>84.5</v>
      </c>
      <c r="H86" s="544"/>
      <c r="I86" s="542">
        <f>ROUND('Table X12 Indices 2012=100'!S86*$I$11,1)</f>
        <v>86.1</v>
      </c>
      <c r="J86" s="543">
        <f>ROUND('Table X12 Indices 2012=100'!T86*$J$11,1)</f>
        <v>92.2</v>
      </c>
      <c r="K86" s="546">
        <f>ROUND('Table X12 Indices 2012=100'!U86*$K$11,1)</f>
        <v>112.9</v>
      </c>
      <c r="L86" s="547">
        <f>ROUND('Table X12 Indices 2012=100'!V86*$L$11,1)</f>
        <v>114.5</v>
      </c>
      <c r="M86" s="431"/>
      <c r="N86" s="432"/>
    </row>
    <row r="87" spans="1:14" ht="18" customHeight="1" x14ac:dyDescent="0.25">
      <c r="A87" s="431"/>
      <c r="B87" s="490"/>
      <c r="C87" s="548">
        <f>ROUND('Table X12 Indices 2012=100'!N87*$C$11,1)</f>
        <v>92</v>
      </c>
      <c r="D87" s="549">
        <f>ROUND('Table X12 Indices 2012=100'!O87*$D$11,1)</f>
        <v>90.2</v>
      </c>
      <c r="E87" s="550">
        <f>ROUND('Table X12 Indices 2012=100'!P87*$E$11,1)</f>
        <v>105.1</v>
      </c>
      <c r="F87" s="523">
        <f>ROUND('Table X12 Indices 2012=100'!Q87*$F$11,1)</f>
        <v>114.6</v>
      </c>
      <c r="G87" s="551">
        <f>ROUND('Table X12 Indices 2012=100'!R87*$G$11,1)</f>
        <v>84.7</v>
      </c>
      <c r="H87" s="551"/>
      <c r="I87" s="549">
        <f>ROUND('Table X12 Indices 2012=100'!S87*$I$11,1)</f>
        <v>86.2</v>
      </c>
      <c r="J87" s="550">
        <f>ROUND('Table X12 Indices 2012=100'!T87*$J$11,1)</f>
        <v>92.4</v>
      </c>
      <c r="K87" s="553">
        <f>ROUND('Table X12 Indices 2012=100'!U87*$K$11,1)</f>
        <v>113.7</v>
      </c>
      <c r="L87" s="554">
        <f>ROUND('Table X12 Indices 2012=100'!V87*$L$11,1)</f>
        <v>115.4</v>
      </c>
      <c r="M87" s="431"/>
      <c r="N87" s="432"/>
    </row>
    <row r="88" spans="1:14" ht="18" customHeight="1" x14ac:dyDescent="0.25">
      <c r="A88" s="431"/>
      <c r="B88" s="490"/>
      <c r="C88" s="533">
        <f>ROUND('Table X12 Indices 2012=100'!N88*$C$11,1)</f>
        <v>92.7</v>
      </c>
      <c r="D88" s="534">
        <f>ROUND('Table X12 Indices 2012=100'!O88*$D$11,1)</f>
        <v>91.1</v>
      </c>
      <c r="E88" s="535">
        <f>ROUND('Table X12 Indices 2012=100'!P88*$E$11,1)</f>
        <v>106.1</v>
      </c>
      <c r="F88" s="536">
        <f>ROUND('Table X12 Indices 2012=100'!Q88*$F$11,1)</f>
        <v>117.6</v>
      </c>
      <c r="G88" s="537">
        <f>ROUND('Table X12 Indices 2012=100'!R88*$G$11,1)</f>
        <v>85.2</v>
      </c>
      <c r="H88" s="537"/>
      <c r="I88" s="534">
        <f>ROUND('Table X12 Indices 2012=100'!S88*$I$11,1)</f>
        <v>86.3</v>
      </c>
      <c r="J88" s="535">
        <f>ROUND('Table X12 Indices 2012=100'!T88*$J$11,1)</f>
        <v>92.4</v>
      </c>
      <c r="K88" s="539">
        <f>ROUND('Table X12 Indices 2012=100'!U88*$K$11,1)</f>
        <v>116.7</v>
      </c>
      <c r="L88" s="540">
        <f>ROUND('Table X12 Indices 2012=100'!V88*$L$11,1)</f>
        <v>118.5</v>
      </c>
      <c r="M88" s="431"/>
      <c r="N88" s="432"/>
    </row>
    <row r="89" spans="1:14" ht="18" customHeight="1" x14ac:dyDescent="0.25">
      <c r="A89" s="431"/>
      <c r="B89" s="490"/>
      <c r="C89" s="541">
        <f>ROUND('Table X12 Indices 2012=100'!N89*$C$11,1)</f>
        <v>92.8</v>
      </c>
      <c r="D89" s="542">
        <f>ROUND('Table X12 Indices 2012=100'!O89*$D$11,1)</f>
        <v>93.8</v>
      </c>
      <c r="E89" s="543">
        <f>ROUND('Table X12 Indices 2012=100'!P89*$E$11,1)</f>
        <v>109.7</v>
      </c>
      <c r="F89" s="508">
        <f>ROUND('Table X12 Indices 2012=100'!Q89*$F$11,1)</f>
        <v>119.8</v>
      </c>
      <c r="G89" s="544">
        <f>ROUND('Table X12 Indices 2012=100'!R89*$G$11,1)</f>
        <v>86.4</v>
      </c>
      <c r="H89" s="544"/>
      <c r="I89" s="542">
        <f>ROUND('Table X12 Indices 2012=100'!S89*$I$11,1)</f>
        <v>91.8</v>
      </c>
      <c r="J89" s="543">
        <f>ROUND('Table X12 Indices 2012=100'!T89*$J$11,1)</f>
        <v>92.9</v>
      </c>
      <c r="K89" s="546">
        <f>ROUND('Table X12 Indices 2012=100'!U89*$K$11,1)</f>
        <v>118.9</v>
      </c>
      <c r="L89" s="547">
        <f>ROUND('Table X12 Indices 2012=100'!V89*$L$11,1)</f>
        <v>120.8</v>
      </c>
      <c r="M89" s="431"/>
      <c r="N89" s="432"/>
    </row>
    <row r="90" spans="1:14" ht="18" customHeight="1" x14ac:dyDescent="0.25">
      <c r="A90" s="431"/>
      <c r="B90" s="490"/>
      <c r="C90" s="541">
        <f>ROUND('Table X12 Indices 2012=100'!N90*$C$11,1)</f>
        <v>93.8</v>
      </c>
      <c r="D90" s="542">
        <f>ROUND('Table X12 Indices 2012=100'!O90*$D$11,1)</f>
        <v>94.5</v>
      </c>
      <c r="E90" s="543">
        <f>ROUND('Table X12 Indices 2012=100'!P90*$E$11,1)</f>
        <v>111.2</v>
      </c>
      <c r="F90" s="508">
        <f>ROUND('Table X12 Indices 2012=100'!Q90*$F$11,1)</f>
        <v>122.4</v>
      </c>
      <c r="G90" s="544">
        <f>ROUND('Table X12 Indices 2012=100'!R90*$G$11,1)</f>
        <v>86.2</v>
      </c>
      <c r="H90" s="544"/>
      <c r="I90" s="542">
        <f>ROUND('Table X12 Indices 2012=100'!S90*$I$11,1)</f>
        <v>92.1</v>
      </c>
      <c r="J90" s="543">
        <f>ROUND('Table X12 Indices 2012=100'!T90*$J$11,1)</f>
        <v>93.4</v>
      </c>
      <c r="K90" s="546">
        <f>ROUND('Table X12 Indices 2012=100'!U90*$K$11,1)</f>
        <v>121.3</v>
      </c>
      <c r="L90" s="547">
        <f>ROUND('Table X12 Indices 2012=100'!V90*$L$11,1)</f>
        <v>123.3</v>
      </c>
      <c r="M90" s="431"/>
      <c r="N90" s="432"/>
    </row>
    <row r="91" spans="1:14" ht="18" customHeight="1" x14ac:dyDescent="0.25">
      <c r="A91" s="431"/>
      <c r="B91" s="490"/>
      <c r="C91" s="541">
        <f>ROUND('Table X12 Indices 2012=100'!N91*$C$11,1)</f>
        <v>94.1</v>
      </c>
      <c r="D91" s="542">
        <f>ROUND('Table X12 Indices 2012=100'!O91*$D$11,1)</f>
        <v>94.9</v>
      </c>
      <c r="E91" s="543">
        <f>ROUND('Table X12 Indices 2012=100'!P91*$E$11,1)</f>
        <v>111.1</v>
      </c>
      <c r="F91" s="508">
        <f>ROUND('Table X12 Indices 2012=100'!Q91*$F$11,1)</f>
        <v>121.3</v>
      </c>
      <c r="G91" s="544">
        <f>ROUND('Table X12 Indices 2012=100'!R91*$G$11,1)</f>
        <v>86.8</v>
      </c>
      <c r="H91" s="544"/>
      <c r="I91" s="542">
        <f>ROUND('Table X12 Indices 2012=100'!S91*$I$11,1)</f>
        <v>93.2</v>
      </c>
      <c r="J91" s="543">
        <f>ROUND('Table X12 Indices 2012=100'!T91*$J$11,1)</f>
        <v>95</v>
      </c>
      <c r="K91" s="546">
        <f>ROUND('Table X12 Indices 2012=100'!U91*$K$11,1)</f>
        <v>120.6</v>
      </c>
      <c r="L91" s="547">
        <f>ROUND('Table X12 Indices 2012=100'!V91*$L$11,1)</f>
        <v>122.1</v>
      </c>
      <c r="M91" s="431"/>
      <c r="N91" s="432"/>
    </row>
    <row r="92" spans="1:14" ht="18" customHeight="1" x14ac:dyDescent="0.25">
      <c r="A92" s="431"/>
      <c r="B92" s="490"/>
      <c r="C92" s="541">
        <f>ROUND('Table X12 Indices 2012=100'!N92*$C$11,1)</f>
        <v>94.3</v>
      </c>
      <c r="D92" s="542">
        <f>ROUND('Table X12 Indices 2012=100'!O92*$D$11,1)</f>
        <v>94.8</v>
      </c>
      <c r="E92" s="543">
        <f>ROUND('Table X12 Indices 2012=100'!P92*$E$11,1)</f>
        <v>110.5</v>
      </c>
      <c r="F92" s="508">
        <f>ROUND('Table X12 Indices 2012=100'!Q92*$F$11,1)</f>
        <v>118.5</v>
      </c>
      <c r="G92" s="544">
        <f>ROUND('Table X12 Indices 2012=100'!R92*$G$11,1)</f>
        <v>87.2</v>
      </c>
      <c r="H92" s="544"/>
      <c r="I92" s="542">
        <f>ROUND('Table X12 Indices 2012=100'!S92*$I$11,1)</f>
        <v>93.3</v>
      </c>
      <c r="J92" s="543">
        <f>ROUND('Table X12 Indices 2012=100'!T92*$J$11,1)</f>
        <v>95.3</v>
      </c>
      <c r="K92" s="546">
        <f>ROUND('Table X12 Indices 2012=100'!U92*$K$11,1)</f>
        <v>117.8</v>
      </c>
      <c r="L92" s="547">
        <f>ROUND('Table X12 Indices 2012=100'!V92*$L$11,1)</f>
        <v>119.3</v>
      </c>
      <c r="M92" s="431"/>
      <c r="N92" s="432"/>
    </row>
    <row r="93" spans="1:14" ht="18" customHeight="1" x14ac:dyDescent="0.25">
      <c r="A93" s="431"/>
      <c r="B93" s="490"/>
      <c r="C93" s="541">
        <f>ROUND('Table X12 Indices 2012=100'!N93*$C$11,1)</f>
        <v>94.6</v>
      </c>
      <c r="D93" s="542">
        <f>ROUND('Table X12 Indices 2012=100'!O93*$D$11,1)</f>
        <v>94.8</v>
      </c>
      <c r="E93" s="543">
        <f>ROUND('Table X12 Indices 2012=100'!P93*$E$11,1)</f>
        <v>111</v>
      </c>
      <c r="F93" s="508">
        <f>ROUND('Table X12 Indices 2012=100'!Q93*$F$11,1)</f>
        <v>116.4</v>
      </c>
      <c r="G93" s="544">
        <f>ROUND('Table X12 Indices 2012=100'!R93*$G$11,1)</f>
        <v>87.4</v>
      </c>
      <c r="H93" s="544"/>
      <c r="I93" s="542">
        <f>ROUND('Table X12 Indices 2012=100'!S93*$I$11,1)</f>
        <v>92.5</v>
      </c>
      <c r="J93" s="543">
        <f>ROUND('Table X12 Indices 2012=100'!T93*$J$11,1)</f>
        <v>94.5</v>
      </c>
      <c r="K93" s="546">
        <f>ROUND('Table X12 Indices 2012=100'!U93*$K$11,1)</f>
        <v>115.7</v>
      </c>
      <c r="L93" s="547">
        <f>ROUND('Table X12 Indices 2012=100'!V93*$L$11,1)</f>
        <v>117.1</v>
      </c>
      <c r="M93" s="431"/>
      <c r="N93" s="432"/>
    </row>
    <row r="94" spans="1:14" ht="18" customHeight="1" x14ac:dyDescent="0.25">
      <c r="A94" s="431"/>
      <c r="B94" s="490"/>
      <c r="C94" s="541">
        <f>ROUND('Table X12 Indices 2012=100'!N94*$C$11,1)</f>
        <v>94.6</v>
      </c>
      <c r="D94" s="542">
        <f>ROUND('Table X12 Indices 2012=100'!O94*$D$11,1)</f>
        <v>94.4</v>
      </c>
      <c r="E94" s="543">
        <f>ROUND('Table X12 Indices 2012=100'!P94*$E$11,1)</f>
        <v>112</v>
      </c>
      <c r="F94" s="508">
        <f>ROUND('Table X12 Indices 2012=100'!Q94*$F$11,1)</f>
        <v>117.7</v>
      </c>
      <c r="G94" s="544">
        <f>ROUND('Table X12 Indices 2012=100'!R94*$G$11,1)</f>
        <v>87.5</v>
      </c>
      <c r="H94" s="544"/>
      <c r="I94" s="542">
        <f>ROUND('Table X12 Indices 2012=100'!S94*$I$11,1)</f>
        <v>92.2</v>
      </c>
      <c r="J94" s="543">
        <f>ROUND('Table X12 Indices 2012=100'!T94*$J$11,1)</f>
        <v>94.3</v>
      </c>
      <c r="K94" s="546">
        <f>ROUND('Table X12 Indices 2012=100'!U94*$K$11,1)</f>
        <v>117</v>
      </c>
      <c r="L94" s="547">
        <f>ROUND('Table X12 Indices 2012=100'!V94*$L$11,1)</f>
        <v>118.4</v>
      </c>
      <c r="M94" s="431"/>
      <c r="N94" s="432"/>
    </row>
    <row r="95" spans="1:14" ht="18" customHeight="1" x14ac:dyDescent="0.25">
      <c r="A95" s="431"/>
      <c r="B95" s="490"/>
      <c r="C95" s="541">
        <f>ROUND('Table X12 Indices 2012=100'!N95*$C$11,1)</f>
        <v>94.6</v>
      </c>
      <c r="D95" s="542">
        <f>ROUND('Table X12 Indices 2012=100'!O95*$D$11,1)</f>
        <v>94.4</v>
      </c>
      <c r="E95" s="543">
        <f>ROUND('Table X12 Indices 2012=100'!P95*$E$11,1)</f>
        <v>110.9</v>
      </c>
      <c r="F95" s="508">
        <f>ROUND('Table X12 Indices 2012=100'!Q95*$F$11,1)</f>
        <v>117.2</v>
      </c>
      <c r="G95" s="544">
        <f>ROUND('Table X12 Indices 2012=100'!R95*$G$11,1)</f>
        <v>87.6</v>
      </c>
      <c r="H95" s="544"/>
      <c r="I95" s="542">
        <f>ROUND('Table X12 Indices 2012=100'!S95*$I$11,1)</f>
        <v>92.9</v>
      </c>
      <c r="J95" s="543">
        <f>ROUND('Table X12 Indices 2012=100'!T95*$J$11,1)</f>
        <v>94.4</v>
      </c>
      <c r="K95" s="546">
        <f>ROUND('Table X12 Indices 2012=100'!U95*$K$11,1)</f>
        <v>116.5</v>
      </c>
      <c r="L95" s="547">
        <f>ROUND('Table X12 Indices 2012=100'!V95*$L$11,1)</f>
        <v>117.9</v>
      </c>
      <c r="M95" s="431"/>
      <c r="N95" s="432"/>
    </row>
    <row r="96" spans="1:14" ht="18" customHeight="1" x14ac:dyDescent="0.25">
      <c r="A96" s="431"/>
      <c r="B96" s="490"/>
      <c r="C96" s="541">
        <f>ROUND('Table X12 Indices 2012=100'!N96*$C$11,1)</f>
        <v>95.2</v>
      </c>
      <c r="D96" s="542">
        <f>ROUND('Table X12 Indices 2012=100'!O96*$D$11,1)</f>
        <v>95.4</v>
      </c>
      <c r="E96" s="543">
        <f>ROUND('Table X12 Indices 2012=100'!P96*$E$11,1)</f>
        <v>111</v>
      </c>
      <c r="F96" s="508">
        <f>ROUND('Table X12 Indices 2012=100'!Q96*$F$11,1)</f>
        <v>114.8</v>
      </c>
      <c r="G96" s="544">
        <f>ROUND('Table X12 Indices 2012=100'!R96*$G$11,1)</f>
        <v>87.6</v>
      </c>
      <c r="H96" s="544"/>
      <c r="I96" s="542">
        <f>ROUND('Table X12 Indices 2012=100'!S96*$I$11,1)</f>
        <v>92.9</v>
      </c>
      <c r="J96" s="543">
        <f>ROUND('Table X12 Indices 2012=100'!T96*$J$11,1)</f>
        <v>94.3</v>
      </c>
      <c r="K96" s="546">
        <f>ROUND('Table X12 Indices 2012=100'!U96*$K$11,1)</f>
        <v>114.2</v>
      </c>
      <c r="L96" s="547">
        <f>ROUND('Table X12 Indices 2012=100'!V96*$L$11,1)</f>
        <v>115.5</v>
      </c>
      <c r="M96" s="431"/>
      <c r="N96" s="432"/>
    </row>
    <row r="97" spans="1:14" ht="18" customHeight="1" x14ac:dyDescent="0.25">
      <c r="A97" s="431"/>
      <c r="B97" s="490"/>
      <c r="C97" s="541">
        <f>ROUND('Table X12 Indices 2012=100'!N97*$C$11,1)</f>
        <v>95.3</v>
      </c>
      <c r="D97" s="542">
        <f>ROUND('Table X12 Indices 2012=100'!O97*$D$11,1)</f>
        <v>95.4</v>
      </c>
      <c r="E97" s="543">
        <f>ROUND('Table X12 Indices 2012=100'!P97*$E$11,1)</f>
        <v>111.3</v>
      </c>
      <c r="F97" s="508">
        <f>ROUND('Table X12 Indices 2012=100'!Q97*$F$11,1)</f>
        <v>113.6</v>
      </c>
      <c r="G97" s="544">
        <f>ROUND('Table X12 Indices 2012=100'!R97*$G$11,1)</f>
        <v>87.2</v>
      </c>
      <c r="H97" s="544"/>
      <c r="I97" s="542">
        <f>ROUND('Table X12 Indices 2012=100'!S97*$I$11,1)</f>
        <v>92.9</v>
      </c>
      <c r="J97" s="543">
        <f>ROUND('Table X12 Indices 2012=100'!T97*$J$11,1)</f>
        <v>93.3</v>
      </c>
      <c r="K97" s="546">
        <f>ROUND('Table X12 Indices 2012=100'!U97*$K$11,1)</f>
        <v>113.1</v>
      </c>
      <c r="L97" s="547">
        <f>ROUND('Table X12 Indices 2012=100'!V97*$L$11,1)</f>
        <v>114.2</v>
      </c>
      <c r="M97" s="431"/>
      <c r="N97" s="432"/>
    </row>
    <row r="98" spans="1:14" ht="18" customHeight="1" x14ac:dyDescent="0.25">
      <c r="A98" s="431"/>
      <c r="B98" s="490"/>
      <c r="C98" s="541">
        <f>ROUND('Table X12 Indices 2012=100'!N98*$C$11,1)</f>
        <v>95</v>
      </c>
      <c r="D98" s="542">
        <f>ROUND('Table X12 Indices 2012=100'!O98*$D$11,1)</f>
        <v>96.1</v>
      </c>
      <c r="E98" s="543">
        <f>ROUND('Table X12 Indices 2012=100'!P98*$E$11,1)</f>
        <v>110.6</v>
      </c>
      <c r="F98" s="508">
        <f>ROUND('Table X12 Indices 2012=100'!Q98*$F$11,1)</f>
        <v>108</v>
      </c>
      <c r="G98" s="544">
        <f>ROUND('Table X12 Indices 2012=100'!R98*$G$11,1)</f>
        <v>87.4</v>
      </c>
      <c r="H98" s="544"/>
      <c r="I98" s="542">
        <f>ROUND('Table X12 Indices 2012=100'!S98*$I$11,1)</f>
        <v>92.9</v>
      </c>
      <c r="J98" s="543">
        <f>ROUND('Table X12 Indices 2012=100'!T98*$J$11,1)</f>
        <v>93.3</v>
      </c>
      <c r="K98" s="546">
        <f>ROUND('Table X12 Indices 2012=100'!U98*$K$11,1)</f>
        <v>107.5</v>
      </c>
      <c r="L98" s="547">
        <f>ROUND('Table X12 Indices 2012=100'!V98*$L$11,1)</f>
        <v>108.5</v>
      </c>
      <c r="M98" s="431"/>
      <c r="N98" s="432"/>
    </row>
    <row r="99" spans="1:14" ht="18" customHeight="1" x14ac:dyDescent="0.25">
      <c r="A99" s="431"/>
      <c r="B99" s="490"/>
      <c r="C99" s="548">
        <f>ROUND('Table X12 Indices 2012=100'!N99*$C$11,1)</f>
        <v>94.7</v>
      </c>
      <c r="D99" s="549">
        <f>ROUND('Table X12 Indices 2012=100'!O99*$D$11,1)</f>
        <v>96.1</v>
      </c>
      <c r="E99" s="550">
        <f>ROUND('Table X12 Indices 2012=100'!P99*$E$11,1)</f>
        <v>107.5</v>
      </c>
      <c r="F99" s="523">
        <f>ROUND('Table X12 Indices 2012=100'!Q99*$F$11,1)</f>
        <v>103</v>
      </c>
      <c r="G99" s="551">
        <f>ROUND('Table X12 Indices 2012=100'!R99*$G$11,1)</f>
        <v>87.4</v>
      </c>
      <c r="H99" s="551"/>
      <c r="I99" s="549">
        <f>ROUND('Table X12 Indices 2012=100'!S99*$I$11,1)</f>
        <v>92.9</v>
      </c>
      <c r="J99" s="550">
        <f>ROUND('Table X12 Indices 2012=100'!T99*$J$11,1)</f>
        <v>93.3</v>
      </c>
      <c r="K99" s="553">
        <f>ROUND('Table X12 Indices 2012=100'!U99*$K$11,1)</f>
        <v>102.6</v>
      </c>
      <c r="L99" s="554">
        <f>ROUND('Table X12 Indices 2012=100'!V99*$L$11,1)</f>
        <v>103.6</v>
      </c>
      <c r="M99" s="431"/>
      <c r="N99" s="432"/>
    </row>
    <row r="100" spans="1:14" ht="18" customHeight="1" x14ac:dyDescent="0.25">
      <c r="A100" s="431"/>
      <c r="B100" s="490"/>
      <c r="C100" s="533">
        <f>ROUND('Table X12 Indices 2012=100'!N100*$C$11,1)</f>
        <v>92.9</v>
      </c>
      <c r="D100" s="534">
        <f>ROUND('Table X12 Indices 2012=100'!O100*$D$11,1)</f>
        <v>93.8</v>
      </c>
      <c r="E100" s="535">
        <f>ROUND('Table X12 Indices 2012=100'!P100*$E$11,1)</f>
        <v>104.3</v>
      </c>
      <c r="F100" s="536">
        <f>ROUND('Table X12 Indices 2012=100'!Q100*$F$11,1)</f>
        <v>93.5</v>
      </c>
      <c r="G100" s="537">
        <f>ROUND('Table X12 Indices 2012=100'!R100*$G$11,1)</f>
        <v>88.3</v>
      </c>
      <c r="H100" s="537"/>
      <c r="I100" s="534">
        <f>ROUND('Table X12 Indices 2012=100'!S100*$I$11,1)</f>
        <v>93.6</v>
      </c>
      <c r="J100" s="535">
        <f>ROUND('Table X12 Indices 2012=100'!T100*$J$11,1)</f>
        <v>93.9</v>
      </c>
      <c r="K100" s="539">
        <f>ROUND('Table X12 Indices 2012=100'!U100*$K$11,1)</f>
        <v>93.2</v>
      </c>
      <c r="L100" s="540">
        <f>ROUND('Table X12 Indices 2012=100'!V100*$L$11,1)</f>
        <v>93.8</v>
      </c>
      <c r="M100" s="431"/>
      <c r="N100" s="432"/>
    </row>
    <row r="101" spans="1:14" ht="18" customHeight="1" x14ac:dyDescent="0.25">
      <c r="A101" s="431"/>
      <c r="B101" s="490"/>
      <c r="C101" s="541">
        <f>ROUND('Table X12 Indices 2012=100'!N101*$C$11,1)</f>
        <v>92.4</v>
      </c>
      <c r="D101" s="542">
        <f>ROUND('Table X12 Indices 2012=100'!O101*$D$11,1)</f>
        <v>94.4</v>
      </c>
      <c r="E101" s="543">
        <f>ROUND('Table X12 Indices 2012=100'!P101*$E$11,1)</f>
        <v>99.6</v>
      </c>
      <c r="F101" s="508">
        <f>ROUND('Table X12 Indices 2012=100'!Q101*$F$11,1)</f>
        <v>84.1</v>
      </c>
      <c r="G101" s="544">
        <f>ROUND('Table X12 Indices 2012=100'!R101*$G$11,1)</f>
        <v>88.8</v>
      </c>
      <c r="H101" s="544"/>
      <c r="I101" s="542">
        <f>ROUND('Table X12 Indices 2012=100'!S101*$I$11,1)</f>
        <v>93.7</v>
      </c>
      <c r="J101" s="543">
        <f>ROUND('Table X12 Indices 2012=100'!T101*$J$11,1)</f>
        <v>94.2</v>
      </c>
      <c r="K101" s="546">
        <f>ROUND('Table X12 Indices 2012=100'!U101*$K$11,1)</f>
        <v>84</v>
      </c>
      <c r="L101" s="547">
        <f>ROUND('Table X12 Indices 2012=100'!V101*$L$11,1)</f>
        <v>84.2</v>
      </c>
      <c r="M101" s="431"/>
      <c r="N101" s="432"/>
    </row>
    <row r="102" spans="1:14" ht="18" customHeight="1" x14ac:dyDescent="0.25">
      <c r="A102" s="431"/>
      <c r="B102" s="490"/>
      <c r="C102" s="541">
        <f>ROUND('Table X12 Indices 2012=100'!N102*$C$11,1)</f>
        <v>92.1</v>
      </c>
      <c r="D102" s="542">
        <f>ROUND('Table X12 Indices 2012=100'!O102*$D$11,1)</f>
        <v>93.8</v>
      </c>
      <c r="E102" s="543">
        <f>ROUND('Table X12 Indices 2012=100'!P102*$E$11,1)</f>
        <v>101.5</v>
      </c>
      <c r="F102" s="508">
        <f>ROUND('Table X12 Indices 2012=100'!Q102*$F$11,1)</f>
        <v>90.9</v>
      </c>
      <c r="G102" s="544">
        <f>ROUND('Table X12 Indices 2012=100'!R102*$G$11,1)</f>
        <v>88.8</v>
      </c>
      <c r="H102" s="544"/>
      <c r="I102" s="542">
        <f>ROUND('Table X12 Indices 2012=100'!S102*$I$11,1)</f>
        <v>93.7</v>
      </c>
      <c r="J102" s="543">
        <f>ROUND('Table X12 Indices 2012=100'!T102*$J$11,1)</f>
        <v>94.2</v>
      </c>
      <c r="K102" s="546">
        <f>ROUND('Table X12 Indices 2012=100'!U102*$K$11,1)</f>
        <v>90.6</v>
      </c>
      <c r="L102" s="547">
        <f>ROUND('Table X12 Indices 2012=100'!V102*$L$11,1)</f>
        <v>91.1</v>
      </c>
      <c r="M102" s="431"/>
      <c r="N102" s="432"/>
    </row>
    <row r="103" spans="1:14" ht="18" customHeight="1" x14ac:dyDescent="0.25">
      <c r="A103" s="431"/>
      <c r="B103" s="490"/>
      <c r="C103" s="541">
        <f>ROUND('Table X12 Indices 2012=100'!N103*$C$11,1)</f>
        <v>89.5</v>
      </c>
      <c r="D103" s="542">
        <f>ROUND('Table X12 Indices 2012=100'!O103*$D$11,1)</f>
        <v>90.6</v>
      </c>
      <c r="E103" s="543">
        <f>ROUND('Table X12 Indices 2012=100'!P103*$E$11,1)</f>
        <v>99.8</v>
      </c>
      <c r="F103" s="508">
        <f>ROUND('Table X12 Indices 2012=100'!Q103*$F$11,1)</f>
        <v>102.2</v>
      </c>
      <c r="G103" s="544">
        <f>ROUND('Table X12 Indices 2012=100'!R103*$G$11,1)</f>
        <v>89</v>
      </c>
      <c r="H103" s="544"/>
      <c r="I103" s="542">
        <f>ROUND('Table X12 Indices 2012=100'!S103*$I$11,1)</f>
        <v>92.2</v>
      </c>
      <c r="J103" s="543">
        <f>ROUND('Table X12 Indices 2012=100'!T103*$J$11,1)</f>
        <v>92.8</v>
      </c>
      <c r="K103" s="546">
        <f>ROUND('Table X12 Indices 2012=100'!U103*$K$11,1)</f>
        <v>101.9</v>
      </c>
      <c r="L103" s="547">
        <f>ROUND('Table X12 Indices 2012=100'!V103*$L$11,1)</f>
        <v>102.5</v>
      </c>
      <c r="M103" s="431"/>
      <c r="N103" s="432"/>
    </row>
    <row r="104" spans="1:14" ht="18" customHeight="1" x14ac:dyDescent="0.25">
      <c r="A104" s="431"/>
      <c r="B104" s="490"/>
      <c r="C104" s="541">
        <f>ROUND('Table X12 Indices 2012=100'!N104*$C$11,1)</f>
        <v>88.2</v>
      </c>
      <c r="D104" s="542">
        <f>ROUND('Table X12 Indices 2012=100'!O104*$D$11,1)</f>
        <v>89</v>
      </c>
      <c r="E104" s="543">
        <f>ROUND('Table X12 Indices 2012=100'!P104*$E$11,1)</f>
        <v>99</v>
      </c>
      <c r="F104" s="508">
        <f>ROUND('Table X12 Indices 2012=100'!Q104*$F$11,1)</f>
        <v>101.7</v>
      </c>
      <c r="G104" s="544">
        <f>ROUND('Table X12 Indices 2012=100'!R104*$G$11,1)</f>
        <v>89.2</v>
      </c>
      <c r="H104" s="544"/>
      <c r="I104" s="542">
        <f>ROUND('Table X12 Indices 2012=100'!S104*$I$11,1)</f>
        <v>92.2</v>
      </c>
      <c r="J104" s="543">
        <f>ROUND('Table X12 Indices 2012=100'!T104*$J$11,1)</f>
        <v>92.7</v>
      </c>
      <c r="K104" s="546">
        <f>ROUND('Table X12 Indices 2012=100'!U104*$K$11,1)</f>
        <v>101.4</v>
      </c>
      <c r="L104" s="547">
        <f>ROUND('Table X12 Indices 2012=100'!V104*$L$11,1)</f>
        <v>102</v>
      </c>
      <c r="M104" s="431"/>
      <c r="N104" s="432"/>
    </row>
    <row r="105" spans="1:14" ht="18" customHeight="1" x14ac:dyDescent="0.25">
      <c r="A105" s="431"/>
      <c r="B105" s="490"/>
      <c r="C105" s="541">
        <f>ROUND('Table X12 Indices 2012=100'!N105*$C$11,1)</f>
        <v>88.4</v>
      </c>
      <c r="D105" s="542">
        <f>ROUND('Table X12 Indices 2012=100'!O105*$D$11,1)</f>
        <v>88.8</v>
      </c>
      <c r="E105" s="543">
        <f>ROUND('Table X12 Indices 2012=100'!P105*$E$11,1)</f>
        <v>100.2</v>
      </c>
      <c r="F105" s="508">
        <f>ROUND('Table X12 Indices 2012=100'!Q105*$F$11,1)</f>
        <v>106.2</v>
      </c>
      <c r="G105" s="544">
        <f>ROUND('Table X12 Indices 2012=100'!R105*$G$11,1)</f>
        <v>89.2</v>
      </c>
      <c r="H105" s="544"/>
      <c r="I105" s="542">
        <f>ROUND('Table X12 Indices 2012=100'!S105*$I$11,1)</f>
        <v>92.5</v>
      </c>
      <c r="J105" s="543">
        <f>ROUND('Table X12 Indices 2012=100'!T105*$J$11,1)</f>
        <v>92.4</v>
      </c>
      <c r="K105" s="546">
        <f>ROUND('Table X12 Indices 2012=100'!U105*$K$11,1)</f>
        <v>105.8</v>
      </c>
      <c r="L105" s="547">
        <f>ROUND('Table X12 Indices 2012=100'!V105*$L$11,1)</f>
        <v>106.6</v>
      </c>
      <c r="M105" s="431"/>
      <c r="N105" s="432"/>
    </row>
    <row r="106" spans="1:14" ht="18" customHeight="1" x14ac:dyDescent="0.25">
      <c r="A106" s="431"/>
      <c r="B106" s="490"/>
      <c r="C106" s="541">
        <f>ROUND('Table X12 Indices 2012=100'!N106*$C$11,1)</f>
        <v>88.2</v>
      </c>
      <c r="D106" s="542">
        <f>ROUND('Table X12 Indices 2012=100'!O106*$D$11,1)</f>
        <v>88.9</v>
      </c>
      <c r="E106" s="543">
        <f>ROUND('Table X12 Indices 2012=100'!P106*$E$11,1)</f>
        <v>98.5</v>
      </c>
      <c r="F106" s="508">
        <f>ROUND('Table X12 Indices 2012=100'!Q106*$F$11,1)</f>
        <v>106.6</v>
      </c>
      <c r="G106" s="544">
        <f>ROUND('Table X12 Indices 2012=100'!R106*$G$11,1)</f>
        <v>89.3</v>
      </c>
      <c r="H106" s="544"/>
      <c r="I106" s="542">
        <f>ROUND('Table X12 Indices 2012=100'!S106*$I$11,1)</f>
        <v>92.9</v>
      </c>
      <c r="J106" s="543">
        <f>ROUND('Table X12 Indices 2012=100'!T106*$J$11,1)</f>
        <v>91.9</v>
      </c>
      <c r="K106" s="546">
        <f>ROUND('Table X12 Indices 2012=100'!U106*$K$11,1)</f>
        <v>106.1</v>
      </c>
      <c r="L106" s="547">
        <f>ROUND('Table X12 Indices 2012=100'!V106*$L$11,1)</f>
        <v>106.9</v>
      </c>
      <c r="M106" s="431"/>
      <c r="N106" s="432"/>
    </row>
    <row r="107" spans="1:14" ht="18" customHeight="1" x14ac:dyDescent="0.25">
      <c r="A107" s="431"/>
      <c r="B107" s="490"/>
      <c r="C107" s="541">
        <f>ROUND('Table X12 Indices 2012=100'!N107*$C$11,1)</f>
        <v>88.5</v>
      </c>
      <c r="D107" s="542">
        <f>ROUND('Table X12 Indices 2012=100'!O107*$D$11,1)</f>
        <v>89.4</v>
      </c>
      <c r="E107" s="543">
        <f>ROUND('Table X12 Indices 2012=100'!P107*$E$11,1)</f>
        <v>98.4</v>
      </c>
      <c r="F107" s="508">
        <f>ROUND('Table X12 Indices 2012=100'!Q107*$F$11,1)</f>
        <v>99.5</v>
      </c>
      <c r="G107" s="544">
        <f>ROUND('Table X12 Indices 2012=100'!R107*$G$11,1)</f>
        <v>89.5</v>
      </c>
      <c r="H107" s="544"/>
      <c r="I107" s="542">
        <f>ROUND('Table X12 Indices 2012=100'!S107*$I$11,1)</f>
        <v>93.4</v>
      </c>
      <c r="J107" s="543">
        <f>ROUND('Table X12 Indices 2012=100'!T107*$J$11,1)</f>
        <v>92.2</v>
      </c>
      <c r="K107" s="546">
        <f>ROUND('Table X12 Indices 2012=100'!U107*$K$11,1)</f>
        <v>99.3</v>
      </c>
      <c r="L107" s="547">
        <f>ROUND('Table X12 Indices 2012=100'!V107*$L$11,1)</f>
        <v>99.8</v>
      </c>
      <c r="M107" s="431"/>
      <c r="N107" s="432"/>
    </row>
    <row r="108" spans="1:14" ht="18" customHeight="1" x14ac:dyDescent="0.25">
      <c r="A108" s="431"/>
      <c r="B108" s="490"/>
      <c r="C108" s="541">
        <f>ROUND('Table X12 Indices 2012=100'!N108*$C$11,1)</f>
        <v>88.1</v>
      </c>
      <c r="D108" s="542">
        <f>ROUND('Table X12 Indices 2012=100'!O108*$D$11,1)</f>
        <v>89.1</v>
      </c>
      <c r="E108" s="543">
        <f>ROUND('Table X12 Indices 2012=100'!P108*$E$11,1)</f>
        <v>95.4</v>
      </c>
      <c r="F108" s="508">
        <f>ROUND('Table X12 Indices 2012=100'!Q108*$F$11,1)</f>
        <v>94.6</v>
      </c>
      <c r="G108" s="544">
        <f>ROUND('Table X12 Indices 2012=100'!R108*$G$11,1)</f>
        <v>90.3</v>
      </c>
      <c r="H108" s="544"/>
      <c r="I108" s="542">
        <f>ROUND('Table X12 Indices 2012=100'!S108*$I$11,1)</f>
        <v>93.8</v>
      </c>
      <c r="J108" s="543">
        <f>ROUND('Table X12 Indices 2012=100'!T108*$J$11,1)</f>
        <v>92.8</v>
      </c>
      <c r="K108" s="546">
        <f>ROUND('Table X12 Indices 2012=100'!U108*$K$11,1)</f>
        <v>94.3</v>
      </c>
      <c r="L108" s="547">
        <f>ROUND('Table X12 Indices 2012=100'!V108*$L$11,1)</f>
        <v>94.8</v>
      </c>
      <c r="M108" s="431"/>
      <c r="N108" s="432"/>
    </row>
    <row r="109" spans="1:14" ht="18" customHeight="1" x14ac:dyDescent="0.25">
      <c r="A109" s="431"/>
      <c r="B109" s="490"/>
      <c r="C109" s="541">
        <f>ROUND('Table X12 Indices 2012=100'!N109*$C$11,1)</f>
        <v>88.4</v>
      </c>
      <c r="D109" s="542">
        <f>ROUND('Table X12 Indices 2012=100'!O109*$D$11,1)</f>
        <v>89.1</v>
      </c>
      <c r="E109" s="543">
        <f>ROUND('Table X12 Indices 2012=100'!P109*$E$11,1)</f>
        <v>93</v>
      </c>
      <c r="F109" s="508">
        <f>ROUND('Table X12 Indices 2012=100'!Q109*$F$11,1)</f>
        <v>99.5</v>
      </c>
      <c r="G109" s="544">
        <f>ROUND('Table X12 Indices 2012=100'!R109*$G$11,1)</f>
        <v>91.8</v>
      </c>
      <c r="H109" s="544"/>
      <c r="I109" s="542">
        <f>ROUND('Table X12 Indices 2012=100'!S109*$I$11,1)</f>
        <v>94.8</v>
      </c>
      <c r="J109" s="543">
        <f>ROUND('Table X12 Indices 2012=100'!T109*$J$11,1)</f>
        <v>93.5</v>
      </c>
      <c r="K109" s="546">
        <f>ROUND('Table X12 Indices 2012=100'!U109*$K$11,1)</f>
        <v>99.2</v>
      </c>
      <c r="L109" s="547">
        <f>ROUND('Table X12 Indices 2012=100'!V109*$L$11,1)</f>
        <v>99.7</v>
      </c>
      <c r="M109" s="431"/>
      <c r="N109" s="432"/>
    </row>
    <row r="110" spans="1:14" ht="18" customHeight="1" x14ac:dyDescent="0.25">
      <c r="A110" s="431"/>
      <c r="B110" s="490"/>
      <c r="C110" s="541">
        <f>ROUND('Table X12 Indices 2012=100'!N110*$C$11,1)</f>
        <v>88.4</v>
      </c>
      <c r="D110" s="542">
        <f>ROUND('Table X12 Indices 2012=100'!O110*$D$11,1)</f>
        <v>89</v>
      </c>
      <c r="E110" s="543">
        <f>ROUND('Table X12 Indices 2012=100'!P110*$E$11,1)</f>
        <v>93.3</v>
      </c>
      <c r="F110" s="508">
        <f>ROUND('Table X12 Indices 2012=100'!Q110*$F$11,1)</f>
        <v>98.6</v>
      </c>
      <c r="G110" s="544">
        <f>ROUND('Table X12 Indices 2012=100'!R110*$G$11,1)</f>
        <v>91.8</v>
      </c>
      <c r="H110" s="544"/>
      <c r="I110" s="542">
        <f>ROUND('Table X12 Indices 2012=100'!S110*$I$11,1)</f>
        <v>95.3</v>
      </c>
      <c r="J110" s="543">
        <f>ROUND('Table X12 Indices 2012=100'!T110*$J$11,1)</f>
        <v>93.9</v>
      </c>
      <c r="K110" s="546">
        <f>ROUND('Table X12 Indices 2012=100'!U110*$K$11,1)</f>
        <v>98.3</v>
      </c>
      <c r="L110" s="547">
        <f>ROUND('Table X12 Indices 2012=100'!V110*$L$11,1)</f>
        <v>98.9</v>
      </c>
      <c r="M110" s="431"/>
      <c r="N110" s="432"/>
    </row>
    <row r="111" spans="1:14" ht="18" customHeight="1" x14ac:dyDescent="0.25">
      <c r="A111" s="431"/>
      <c r="B111" s="490"/>
      <c r="C111" s="548">
        <f>ROUND('Table X12 Indices 2012=100'!N111*$C$11,1)</f>
        <v>88.1</v>
      </c>
      <c r="D111" s="549">
        <f>ROUND('Table X12 Indices 2012=100'!O111*$D$11,1)</f>
        <v>89.4</v>
      </c>
      <c r="E111" s="550">
        <f>ROUND('Table X12 Indices 2012=100'!P111*$E$11,1)</f>
        <v>94.9</v>
      </c>
      <c r="F111" s="523">
        <f>ROUND('Table X12 Indices 2012=100'!Q111*$F$11,1)</f>
        <v>98.3</v>
      </c>
      <c r="G111" s="551">
        <f>ROUND('Table X12 Indices 2012=100'!R111*$G$11,1)</f>
        <v>91.8</v>
      </c>
      <c r="H111" s="551"/>
      <c r="I111" s="549">
        <f>ROUND('Table X12 Indices 2012=100'!S111*$I$11,1)</f>
        <v>95.4</v>
      </c>
      <c r="J111" s="550">
        <f>ROUND('Table X12 Indices 2012=100'!T111*$J$11,1)</f>
        <v>93.9</v>
      </c>
      <c r="K111" s="553">
        <f>ROUND('Table X12 Indices 2012=100'!U111*$K$11,1)</f>
        <v>98.1</v>
      </c>
      <c r="L111" s="554">
        <f>ROUND('Table X12 Indices 2012=100'!V111*$L$11,1)</f>
        <v>98.5</v>
      </c>
      <c r="M111" s="431"/>
      <c r="N111" s="432"/>
    </row>
    <row r="112" spans="1:14" ht="18" customHeight="1" x14ac:dyDescent="0.25">
      <c r="A112" s="431"/>
      <c r="B112" s="490"/>
      <c r="C112" s="533">
        <f>ROUND('Table X12 Indices 2012=100'!N112*$C$11,1)</f>
        <v>90.5</v>
      </c>
      <c r="D112" s="534">
        <f>ROUND('Table X12 Indices 2012=100'!O112*$D$11,1)</f>
        <v>91.3</v>
      </c>
      <c r="E112" s="535">
        <f>ROUND('Table X12 Indices 2012=100'!P112*$E$11,1)</f>
        <v>94.2</v>
      </c>
      <c r="F112" s="536">
        <f>ROUND('Table X12 Indices 2012=100'!Q112*$F$11,1)</f>
        <v>91.3</v>
      </c>
      <c r="G112" s="537">
        <f>ROUND('Table X12 Indices 2012=100'!R112*$G$11,1)</f>
        <v>96.5</v>
      </c>
      <c r="H112" s="537"/>
      <c r="I112" s="534">
        <f>ROUND('Table X12 Indices 2012=100'!S112*$I$11,1)</f>
        <v>98.6</v>
      </c>
      <c r="J112" s="535">
        <f>ROUND('Table X12 Indices 2012=100'!T112*$J$11,1)</f>
        <v>96.8</v>
      </c>
      <c r="K112" s="539">
        <f>ROUND('Table X12 Indices 2012=100'!U112*$K$11,1)</f>
        <v>91.1</v>
      </c>
      <c r="L112" s="540">
        <f>ROUND('Table X12 Indices 2012=100'!V112*$L$11,1)</f>
        <v>91.4</v>
      </c>
      <c r="M112" s="431"/>
      <c r="N112" s="432"/>
    </row>
    <row r="113" spans="1:16" ht="18" customHeight="1" x14ac:dyDescent="0.25">
      <c r="A113" s="431"/>
      <c r="B113" s="490"/>
      <c r="C113" s="541">
        <f>ROUND('Table X12 Indices 2012=100'!N113*$C$11,1)</f>
        <v>92.5</v>
      </c>
      <c r="D113" s="542">
        <f>ROUND('Table X12 Indices 2012=100'!O113*$D$11,1)</f>
        <v>93.9</v>
      </c>
      <c r="E113" s="543">
        <f>ROUND('Table X12 Indices 2012=100'!P113*$E$11,1)</f>
        <v>94.6</v>
      </c>
      <c r="F113" s="508">
        <f>ROUND('Table X12 Indices 2012=100'!Q113*$F$11,1)</f>
        <v>85.6</v>
      </c>
      <c r="G113" s="544">
        <f>ROUND('Table X12 Indices 2012=100'!R113*$G$11,1)</f>
        <v>96.8</v>
      </c>
      <c r="H113" s="544"/>
      <c r="I113" s="542">
        <f>ROUND('Table X12 Indices 2012=100'!S113*$I$11,1)</f>
        <v>98.3</v>
      </c>
      <c r="J113" s="543">
        <f>ROUND('Table X12 Indices 2012=100'!T113*$J$11,1)</f>
        <v>97.3</v>
      </c>
      <c r="K113" s="546">
        <f>ROUND('Table X12 Indices 2012=100'!U113*$K$11,1)</f>
        <v>85.5</v>
      </c>
      <c r="L113" s="547">
        <f>ROUND('Table X12 Indices 2012=100'!V113*$L$11,1)</f>
        <v>85.6</v>
      </c>
      <c r="M113" s="431"/>
      <c r="N113" s="432"/>
    </row>
    <row r="114" spans="1:16" ht="18" customHeight="1" x14ac:dyDescent="0.25">
      <c r="A114" s="431"/>
      <c r="B114" s="490"/>
      <c r="C114" s="541">
        <f>ROUND('Table X12 Indices 2012=100'!N114*$C$11,1)</f>
        <v>92.6</v>
      </c>
      <c r="D114" s="542">
        <f>ROUND('Table X12 Indices 2012=100'!O114*$D$11,1)</f>
        <v>92.7</v>
      </c>
      <c r="E114" s="543">
        <f>ROUND('Table X12 Indices 2012=100'!P114*$E$11,1)</f>
        <v>93</v>
      </c>
      <c r="F114" s="508">
        <f>ROUND('Table X12 Indices 2012=100'!Q114*$F$11,1)</f>
        <v>86.9</v>
      </c>
      <c r="G114" s="544">
        <f>ROUND('Table X12 Indices 2012=100'!R114*$G$11,1)</f>
        <v>97.8</v>
      </c>
      <c r="H114" s="544"/>
      <c r="I114" s="542">
        <f>ROUND('Table X12 Indices 2012=100'!S114*$I$11,1)</f>
        <v>99.3</v>
      </c>
      <c r="J114" s="543">
        <f>ROUND('Table X12 Indices 2012=100'!T114*$J$11,1)</f>
        <v>98.3</v>
      </c>
      <c r="K114" s="546">
        <f>ROUND('Table X12 Indices 2012=100'!U114*$K$11,1)</f>
        <v>86.8</v>
      </c>
      <c r="L114" s="547">
        <f>ROUND('Table X12 Indices 2012=100'!V114*$L$11,1)</f>
        <v>87</v>
      </c>
      <c r="M114" s="431"/>
      <c r="N114" s="432"/>
    </row>
    <row r="115" spans="1:16" ht="18" customHeight="1" x14ac:dyDescent="0.25">
      <c r="A115" s="431"/>
      <c r="B115" s="490"/>
      <c r="C115" s="541">
        <f>ROUND('Table X12 Indices 2012=100'!N115*$C$11,1)</f>
        <v>93.3</v>
      </c>
      <c r="D115" s="542">
        <f>ROUND('Table X12 Indices 2012=100'!O115*$D$11,1)</f>
        <v>95.4</v>
      </c>
      <c r="E115" s="543">
        <f>ROUND('Table X12 Indices 2012=100'!P115*$E$11,1)</f>
        <v>94.6</v>
      </c>
      <c r="F115" s="508">
        <f>ROUND('Table X12 Indices 2012=100'!Q115*$F$11,1)</f>
        <v>95.5</v>
      </c>
      <c r="G115" s="544">
        <f>ROUND('Table X12 Indices 2012=100'!R115*$G$11,1)</f>
        <v>98.3</v>
      </c>
      <c r="H115" s="544"/>
      <c r="I115" s="542">
        <f>ROUND('Table X12 Indices 2012=100'!S115*$I$11,1)</f>
        <v>99.3</v>
      </c>
      <c r="J115" s="543">
        <f>ROUND('Table X12 Indices 2012=100'!T115*$J$11,1)</f>
        <v>98.4</v>
      </c>
      <c r="K115" s="546">
        <f>ROUND('Table X12 Indices 2012=100'!U115*$K$11,1)</f>
        <v>95.5</v>
      </c>
      <c r="L115" s="547">
        <f>ROUND('Table X12 Indices 2012=100'!V115*$L$11,1)</f>
        <v>95.5</v>
      </c>
      <c r="M115" s="431"/>
      <c r="N115" s="432"/>
    </row>
    <row r="116" spans="1:16" ht="18" customHeight="1" x14ac:dyDescent="0.25">
      <c r="A116" s="431"/>
      <c r="B116" s="490"/>
      <c r="C116" s="541">
        <f>ROUND('Table X12 Indices 2012=100'!N116*$C$11,1)</f>
        <v>95.6</v>
      </c>
      <c r="D116" s="542">
        <f>ROUND('Table X12 Indices 2012=100'!O116*$D$11,1)</f>
        <v>98.8</v>
      </c>
      <c r="E116" s="543">
        <f>ROUND('Table X12 Indices 2012=100'!P116*$E$11,1)</f>
        <v>96.1</v>
      </c>
      <c r="F116" s="508">
        <f>ROUND('Table X12 Indices 2012=100'!Q116*$F$11,1)</f>
        <v>95.4</v>
      </c>
      <c r="G116" s="544">
        <f>ROUND('Table X12 Indices 2012=100'!R116*$G$11,1)</f>
        <v>99.1</v>
      </c>
      <c r="H116" s="544"/>
      <c r="I116" s="542">
        <f>ROUND('Table X12 Indices 2012=100'!S116*$I$11,1)</f>
        <v>99.5</v>
      </c>
      <c r="J116" s="543">
        <f>ROUND('Table X12 Indices 2012=100'!T116*$J$11,1)</f>
        <v>99.3</v>
      </c>
      <c r="K116" s="546">
        <f>ROUND('Table X12 Indices 2012=100'!U116*$K$11,1)</f>
        <v>95.4</v>
      </c>
      <c r="L116" s="547">
        <f>ROUND('Table X12 Indices 2012=100'!V116*$L$11,1)</f>
        <v>95.4</v>
      </c>
      <c r="M116" s="431"/>
      <c r="N116" s="432"/>
    </row>
    <row r="117" spans="1:16" ht="18" customHeight="1" x14ac:dyDescent="0.25">
      <c r="A117" s="431"/>
      <c r="B117" s="490"/>
      <c r="C117" s="541">
        <f>ROUND('Table X12 Indices 2012=100'!N117*$C$11,1)</f>
        <v>95.8</v>
      </c>
      <c r="D117" s="542">
        <f>ROUND('Table X12 Indices 2012=100'!O117*$D$11,1)</f>
        <v>98.7</v>
      </c>
      <c r="E117" s="543">
        <f>ROUND('Table X12 Indices 2012=100'!P117*$E$11,1)</f>
        <v>99.1</v>
      </c>
      <c r="F117" s="508">
        <f>ROUND('Table X12 Indices 2012=100'!Q117*$F$11,1)</f>
        <v>102.5</v>
      </c>
      <c r="G117" s="544">
        <f>ROUND('Table X12 Indices 2012=100'!R117*$G$11,1)</f>
        <v>99.9</v>
      </c>
      <c r="H117" s="544"/>
      <c r="I117" s="542">
        <f>ROUND('Table X12 Indices 2012=100'!S117*$I$11,1)</f>
        <v>100.2</v>
      </c>
      <c r="J117" s="543">
        <f>ROUND('Table X12 Indices 2012=100'!T117*$J$11,1)</f>
        <v>100.6</v>
      </c>
      <c r="K117" s="546">
        <f>ROUND('Table X12 Indices 2012=100'!U117*$K$11,1)</f>
        <v>102.3</v>
      </c>
      <c r="L117" s="547">
        <f>ROUND('Table X12 Indices 2012=100'!V117*$L$11,1)</f>
        <v>102.5</v>
      </c>
      <c r="M117" s="431"/>
      <c r="N117" s="432"/>
    </row>
    <row r="118" spans="1:16" ht="18" customHeight="1" x14ac:dyDescent="0.25">
      <c r="A118" s="431"/>
      <c r="B118" s="490"/>
      <c r="C118" s="541">
        <f>ROUND('Table X12 Indices 2012=100'!N118*$C$11,1)</f>
        <v>95.3</v>
      </c>
      <c r="D118" s="542">
        <f>ROUND('Table X12 Indices 2012=100'!O118*$D$11,1)</f>
        <v>97.6</v>
      </c>
      <c r="E118" s="543">
        <f>ROUND('Table X12 Indices 2012=100'!P118*$E$11,1)</f>
        <v>99.6</v>
      </c>
      <c r="F118" s="508">
        <f>ROUND('Table X12 Indices 2012=100'!Q118*$F$11,1)</f>
        <v>106.3</v>
      </c>
      <c r="G118" s="544">
        <f>ROUND('Table X12 Indices 2012=100'!R118*$G$11,1)</f>
        <v>100.4</v>
      </c>
      <c r="H118" s="544"/>
      <c r="I118" s="542">
        <f>ROUND('Table X12 Indices 2012=100'!S118*$I$11,1)</f>
        <v>99.8</v>
      </c>
      <c r="J118" s="543">
        <f>ROUND('Table X12 Indices 2012=100'!T118*$J$11,1)</f>
        <v>100.3</v>
      </c>
      <c r="K118" s="546">
        <f>ROUND('Table X12 Indices 2012=100'!U118*$K$11,1)</f>
        <v>106.1</v>
      </c>
      <c r="L118" s="547">
        <f>ROUND('Table X12 Indices 2012=100'!V118*$L$11,1)</f>
        <v>106.4</v>
      </c>
      <c r="M118" s="431"/>
      <c r="N118" s="432"/>
    </row>
    <row r="119" spans="1:16" ht="18" customHeight="1" x14ac:dyDescent="0.25">
      <c r="A119" s="431"/>
      <c r="B119" s="490"/>
      <c r="C119" s="541">
        <f>ROUND('Table X12 Indices 2012=100'!N119*$C$11,1)</f>
        <v>96.4</v>
      </c>
      <c r="D119" s="542">
        <f>ROUND('Table X12 Indices 2012=100'!O119*$D$11,1)</f>
        <v>97.9</v>
      </c>
      <c r="E119" s="543">
        <f>ROUND('Table X12 Indices 2012=100'!P119*$E$11,1)</f>
        <v>100.1</v>
      </c>
      <c r="F119" s="508">
        <f>ROUND('Table X12 Indices 2012=100'!Q119*$F$11,1)</f>
        <v>99.5</v>
      </c>
      <c r="G119" s="544">
        <f>ROUND('Table X12 Indices 2012=100'!R119*$G$11,1)</f>
        <v>100.8</v>
      </c>
      <c r="H119" s="544"/>
      <c r="I119" s="542">
        <f>ROUND('Table X12 Indices 2012=100'!S119*$I$11,1)</f>
        <v>100.5</v>
      </c>
      <c r="J119" s="543">
        <f>ROUND('Table X12 Indices 2012=100'!T119*$J$11,1)</f>
        <v>101</v>
      </c>
      <c r="K119" s="573">
        <f>ROUND('Table X12 Indices 2012=100'!U119*$K$11,1)</f>
        <v>99.4</v>
      </c>
      <c r="L119" s="547">
        <f>ROUND('Table X12 Indices 2012=100'!V119*$L$11,1)</f>
        <v>99.5</v>
      </c>
      <c r="M119" s="431"/>
      <c r="N119" s="432"/>
    </row>
    <row r="120" spans="1:16" ht="18" customHeight="1" x14ac:dyDescent="0.25">
      <c r="A120" s="431"/>
      <c r="B120" s="490"/>
      <c r="C120" s="541">
        <f>ROUND('Table X12 Indices 2012=100'!N120*$C$11,1)</f>
        <v>95.5</v>
      </c>
      <c r="D120" s="542">
        <f>ROUND('Table X12 Indices 2012=100'!O120*$D$11,1)</f>
        <v>97.6</v>
      </c>
      <c r="E120" s="543">
        <f>ROUND('Table X12 Indices 2012=100'!P120*$E$11,1)</f>
        <v>98.2</v>
      </c>
      <c r="F120" s="508">
        <f>ROUND('Table X12 Indices 2012=100'!Q120*$F$11,1)</f>
        <v>95</v>
      </c>
      <c r="G120" s="544">
        <f>ROUND('Table X12 Indices 2012=100'!R120*$G$11,1)</f>
        <v>100.8</v>
      </c>
      <c r="H120" s="544"/>
      <c r="I120" s="542">
        <f>ROUND('Table X12 Indices 2012=100'!S120*$I$11,1)</f>
        <v>100.5</v>
      </c>
      <c r="J120" s="543">
        <f>ROUND('Table X12 Indices 2012=100'!T120*$J$11,1)</f>
        <v>101.1</v>
      </c>
      <c r="K120" s="573">
        <f>ROUND('Table X12 Indices 2012=100'!U120*$K$11,1)</f>
        <v>95.1</v>
      </c>
      <c r="L120" s="547">
        <f>ROUND('Table X12 Indices 2012=100'!V120*$L$11,1)</f>
        <v>95</v>
      </c>
      <c r="M120" s="431"/>
      <c r="N120" s="432"/>
    </row>
    <row r="121" spans="1:16" ht="18" customHeight="1" x14ac:dyDescent="0.25">
      <c r="A121" s="431"/>
      <c r="B121" s="490"/>
      <c r="C121" s="541">
        <f>ROUND('Table X12 Indices 2012=100'!N121*$C$11,1)</f>
        <v>96</v>
      </c>
      <c r="D121" s="542">
        <f>ROUND('Table X12 Indices 2012=100'!O121*$D$11,1)</f>
        <v>97.6</v>
      </c>
      <c r="E121" s="543">
        <f>ROUND('Table X12 Indices 2012=100'!P121*$E$11,1)</f>
        <v>99</v>
      </c>
      <c r="F121" s="508">
        <f>ROUND('Table X12 Indices 2012=100'!Q121*$F$11,1)</f>
        <v>97.2</v>
      </c>
      <c r="G121" s="544">
        <f>ROUND('Table X12 Indices 2012=100'!R121*$G$11,1)</f>
        <v>100.7</v>
      </c>
      <c r="H121" s="544"/>
      <c r="I121" s="542">
        <f>ROUND('Table X12 Indices 2012=100'!S121*$I$11,1)</f>
        <v>100.4</v>
      </c>
      <c r="J121" s="543">
        <f>ROUND('Table X12 Indices 2012=100'!T121*$J$11,1)</f>
        <v>100.9</v>
      </c>
      <c r="K121" s="573">
        <f>ROUND('Table X12 Indices 2012=100'!U121*$K$11,1)</f>
        <v>97.2</v>
      </c>
      <c r="L121" s="547">
        <f>ROUND('Table X12 Indices 2012=100'!V121*$L$11,1)</f>
        <v>97.1</v>
      </c>
      <c r="M121" s="431"/>
      <c r="N121" s="432"/>
    </row>
    <row r="122" spans="1:16" ht="18" customHeight="1" x14ac:dyDescent="0.25">
      <c r="A122" s="431"/>
      <c r="B122" s="490"/>
      <c r="C122" s="541">
        <f>ROUND('Table X12 Indices 2012=100'!N122*$C$11,1)</f>
        <v>96.1</v>
      </c>
      <c r="D122" s="542">
        <f>ROUND('Table X12 Indices 2012=100'!O122*$D$11,1)</f>
        <v>97.6</v>
      </c>
      <c r="E122" s="543">
        <f>ROUND('Table X12 Indices 2012=100'!P122*$E$11,1)</f>
        <v>99.5</v>
      </c>
      <c r="F122" s="508">
        <f>ROUND('Table X12 Indices 2012=100'!Q122*$F$11,1)</f>
        <v>102.9</v>
      </c>
      <c r="G122" s="544">
        <f>ROUND('Table X12 Indices 2012=100'!R122*$G$11,1)</f>
        <v>100.5</v>
      </c>
      <c r="H122" s="544"/>
      <c r="I122" s="542">
        <f>ROUND('Table X12 Indices 2012=100'!S122*$I$11,1)</f>
        <v>100.2</v>
      </c>
      <c r="J122" s="543">
        <f>ROUND('Table X12 Indices 2012=100'!T122*$J$11,1)</f>
        <v>100.7</v>
      </c>
      <c r="K122" s="573">
        <f>ROUND('Table X12 Indices 2012=100'!U122*$K$11,1)</f>
        <v>102.9</v>
      </c>
      <c r="L122" s="547">
        <f>ROUND('Table X12 Indices 2012=100'!V122*$L$11,1)</f>
        <v>103.1</v>
      </c>
      <c r="M122" s="431"/>
      <c r="N122" s="432"/>
    </row>
    <row r="123" spans="1:16" ht="18" customHeight="1" thickBot="1" x14ac:dyDescent="0.3">
      <c r="A123" s="431"/>
      <c r="B123" s="490"/>
      <c r="C123" s="579">
        <f>ROUND('Table X12 Indices 2012=100'!N123*$C$11,1)</f>
        <v>100</v>
      </c>
      <c r="D123" s="580">
        <f>ROUND('Table X12 Indices 2012=100'!O123*$D$11,1)</f>
        <v>100</v>
      </c>
      <c r="E123" s="581">
        <f>ROUND('Table X12 Indices 2012=100'!P123*$E$11,1)</f>
        <v>100</v>
      </c>
      <c r="F123" s="582">
        <f>ROUND('Table X12 Indices 2012=100'!Q123*$F$11,1)</f>
        <v>100</v>
      </c>
      <c r="G123" s="583">
        <f>ROUND('Table X12 Indices 2012=100'!R123*$G$11,1)</f>
        <v>100</v>
      </c>
      <c r="H123" s="583"/>
      <c r="I123" s="580">
        <f>ROUND('Table X12 Indices 2012=100'!S123*$I$11,1)</f>
        <v>100</v>
      </c>
      <c r="J123" s="581">
        <f>ROUND('Table X12 Indices 2012=100'!T123*$J$11,1)</f>
        <v>100</v>
      </c>
      <c r="K123" s="584">
        <f>ROUND('Table X12 Indices 2012=100'!U123*$K$11,1)</f>
        <v>100</v>
      </c>
      <c r="L123" s="585">
        <f>ROUND('Table X12 Indices 2012=100'!V123*$L$11,1)</f>
        <v>100</v>
      </c>
      <c r="M123" s="431"/>
      <c r="N123" s="432"/>
    </row>
    <row r="124" spans="1:16" ht="30" customHeight="1" x14ac:dyDescent="0.25">
      <c r="A124" s="431"/>
      <c r="B124" s="490"/>
      <c r="C124" s="811" t="s">
        <v>118</v>
      </c>
      <c r="D124" s="812"/>
      <c r="E124" s="812"/>
      <c r="F124" s="812"/>
      <c r="G124" s="812"/>
      <c r="H124" s="812"/>
      <c r="I124" s="812"/>
      <c r="J124" s="812"/>
      <c r="K124" s="812"/>
      <c r="L124" s="813"/>
      <c r="M124" s="431"/>
      <c r="N124" s="432" t="s">
        <v>148</v>
      </c>
    </row>
    <row r="125" spans="1:16" ht="35.25" customHeight="1" thickBot="1" x14ac:dyDescent="0.3">
      <c r="A125" s="431"/>
      <c r="B125" s="490"/>
      <c r="C125" s="814" t="s">
        <v>109</v>
      </c>
      <c r="D125" s="815"/>
      <c r="E125" s="815"/>
      <c r="F125" s="815"/>
      <c r="G125" s="815"/>
      <c r="H125" s="815"/>
      <c r="I125" s="815"/>
      <c r="J125" s="815"/>
      <c r="K125" s="815"/>
      <c r="L125" s="816"/>
      <c r="M125" s="431"/>
      <c r="N125" s="565" t="s">
        <v>127</v>
      </c>
      <c r="O125" s="756" t="s">
        <v>133</v>
      </c>
      <c r="P125" s="756"/>
    </row>
    <row r="126" spans="1:16" ht="18" customHeight="1" x14ac:dyDescent="0.25">
      <c r="A126" s="431"/>
      <c r="B126" s="490"/>
      <c r="C126" s="533">
        <v>100.5</v>
      </c>
      <c r="D126" s="534">
        <v>101.7</v>
      </c>
      <c r="E126" s="535">
        <v>103.8</v>
      </c>
      <c r="F126" s="536">
        <v>103.6</v>
      </c>
      <c r="G126" s="537">
        <v>99.9</v>
      </c>
      <c r="H126" s="537"/>
      <c r="I126" s="534">
        <v>100</v>
      </c>
      <c r="J126" s="535">
        <v>100</v>
      </c>
      <c r="K126" s="539">
        <v>103.5</v>
      </c>
      <c r="L126" s="540">
        <v>103.7</v>
      </c>
      <c r="M126" s="431"/>
      <c r="N126" s="432" t="s">
        <v>128</v>
      </c>
      <c r="O126" s="756"/>
      <c r="P126" s="756"/>
    </row>
    <row r="127" spans="1:16" ht="18" customHeight="1" x14ac:dyDescent="0.25">
      <c r="A127" s="431"/>
      <c r="B127" s="490"/>
      <c r="C127" s="541">
        <v>102.1</v>
      </c>
      <c r="D127" s="542">
        <v>102.9</v>
      </c>
      <c r="E127" s="543">
        <v>105.6</v>
      </c>
      <c r="F127" s="508">
        <v>105.5</v>
      </c>
      <c r="G127" s="544">
        <v>100.4</v>
      </c>
      <c r="H127" s="544"/>
      <c r="I127" s="542">
        <v>100.6</v>
      </c>
      <c r="J127" s="543">
        <v>101.1</v>
      </c>
      <c r="K127" s="546">
        <v>105.4</v>
      </c>
      <c r="L127" s="547">
        <v>105.6</v>
      </c>
      <c r="M127" s="431"/>
      <c r="N127" s="432"/>
    </row>
    <row r="128" spans="1:16" ht="18" customHeight="1" x14ac:dyDescent="0.25">
      <c r="A128" s="431"/>
      <c r="B128" s="490"/>
      <c r="C128" s="541">
        <v>101.6</v>
      </c>
      <c r="D128" s="542">
        <v>102.1</v>
      </c>
      <c r="E128" s="543">
        <v>104</v>
      </c>
      <c r="F128" s="508">
        <v>105.4</v>
      </c>
      <c r="G128" s="544">
        <v>100.4</v>
      </c>
      <c r="H128" s="544"/>
      <c r="I128" s="542">
        <v>100.6</v>
      </c>
      <c r="J128" s="543">
        <v>101</v>
      </c>
      <c r="K128" s="546">
        <v>105.3</v>
      </c>
      <c r="L128" s="547">
        <v>105.4</v>
      </c>
      <c r="M128" s="431"/>
      <c r="N128" s="432"/>
    </row>
    <row r="129" spans="1:14" ht="18" customHeight="1" x14ac:dyDescent="0.25">
      <c r="A129" s="431"/>
      <c r="B129" s="490"/>
      <c r="C129" s="541">
        <v>101.5</v>
      </c>
      <c r="D129" s="542">
        <v>102.7</v>
      </c>
      <c r="E129" s="543">
        <v>103.5</v>
      </c>
      <c r="F129" s="508">
        <v>104.4</v>
      </c>
      <c r="G129" s="544">
        <v>101.5</v>
      </c>
      <c r="H129" s="544"/>
      <c r="I129" s="542">
        <v>102.1</v>
      </c>
      <c r="J129" s="543">
        <v>103.1</v>
      </c>
      <c r="K129" s="546">
        <v>104.3</v>
      </c>
      <c r="L129" s="547">
        <v>104.4</v>
      </c>
      <c r="M129" s="431"/>
      <c r="N129" s="432"/>
    </row>
    <row r="130" spans="1:14" ht="18" customHeight="1" x14ac:dyDescent="0.25">
      <c r="A130" s="431"/>
      <c r="B130" s="490"/>
      <c r="C130" s="541">
        <v>103.3</v>
      </c>
      <c r="D130" s="542">
        <v>105</v>
      </c>
      <c r="E130" s="543">
        <v>105.9</v>
      </c>
      <c r="F130" s="508">
        <v>107.1</v>
      </c>
      <c r="G130" s="544">
        <v>101.6</v>
      </c>
      <c r="H130" s="544"/>
      <c r="I130" s="542">
        <v>102.3</v>
      </c>
      <c r="J130" s="543">
        <v>102.7</v>
      </c>
      <c r="K130" s="546">
        <v>107</v>
      </c>
      <c r="L130" s="547">
        <v>107.3</v>
      </c>
      <c r="M130" s="431"/>
      <c r="N130" s="432"/>
    </row>
    <row r="131" spans="1:14" ht="18" customHeight="1" x14ac:dyDescent="0.25">
      <c r="A131" s="431"/>
      <c r="B131" s="490"/>
      <c r="C131" s="541">
        <v>103.3</v>
      </c>
      <c r="D131" s="542">
        <v>105.1</v>
      </c>
      <c r="E131" s="543">
        <v>104.3</v>
      </c>
      <c r="F131" s="508">
        <v>105</v>
      </c>
      <c r="G131" s="544">
        <v>101</v>
      </c>
      <c r="H131" s="544"/>
      <c r="I131" s="542">
        <v>102.1</v>
      </c>
      <c r="J131" s="543">
        <v>102.3</v>
      </c>
      <c r="K131" s="546">
        <v>104.9</v>
      </c>
      <c r="L131" s="547">
        <v>105.1</v>
      </c>
      <c r="M131" s="431"/>
      <c r="N131" s="432"/>
    </row>
    <row r="132" spans="1:14" ht="18" customHeight="1" x14ac:dyDescent="0.25">
      <c r="A132" s="431"/>
      <c r="B132" s="490"/>
      <c r="C132" s="541">
        <v>103</v>
      </c>
      <c r="D132" s="542">
        <v>105.3</v>
      </c>
      <c r="E132" s="543">
        <v>103.1</v>
      </c>
      <c r="F132" s="508">
        <v>99.5</v>
      </c>
      <c r="G132" s="544">
        <v>101.1</v>
      </c>
      <c r="H132" s="544"/>
      <c r="I132" s="542">
        <v>102.2</v>
      </c>
      <c r="J132" s="543">
        <v>102.4</v>
      </c>
      <c r="K132" s="546">
        <v>99.5</v>
      </c>
      <c r="L132" s="547">
        <v>99.5</v>
      </c>
      <c r="M132" s="431"/>
      <c r="N132" s="432"/>
    </row>
    <row r="133" spans="1:14" ht="18" customHeight="1" x14ac:dyDescent="0.25">
      <c r="A133" s="431"/>
      <c r="B133" s="490"/>
      <c r="C133" s="541">
        <v>104.2</v>
      </c>
      <c r="D133" s="542">
        <v>107.3</v>
      </c>
      <c r="E133" s="543">
        <v>103.8</v>
      </c>
      <c r="F133" s="508">
        <v>102.2</v>
      </c>
      <c r="G133" s="544">
        <v>101.2</v>
      </c>
      <c r="H133" s="544"/>
      <c r="I133" s="542">
        <v>102.3</v>
      </c>
      <c r="J133" s="543">
        <v>102.3</v>
      </c>
      <c r="K133" s="573">
        <v>102.1</v>
      </c>
      <c r="L133" s="547">
        <v>102.2</v>
      </c>
      <c r="M133" s="431"/>
      <c r="N133" s="432"/>
    </row>
    <row r="134" spans="1:14" ht="18" customHeight="1" x14ac:dyDescent="0.25">
      <c r="A134" s="431"/>
      <c r="B134" s="490"/>
      <c r="C134" s="541">
        <v>105.8</v>
      </c>
      <c r="D134" s="542">
        <v>110.1</v>
      </c>
      <c r="E134" s="543">
        <v>106</v>
      </c>
      <c r="F134" s="508">
        <v>106.2</v>
      </c>
      <c r="G134" s="544">
        <v>100.8</v>
      </c>
      <c r="H134" s="544"/>
      <c r="I134" s="542">
        <v>102</v>
      </c>
      <c r="J134" s="543">
        <v>102</v>
      </c>
      <c r="K134" s="573">
        <v>106.1</v>
      </c>
      <c r="L134" s="547">
        <v>106.3</v>
      </c>
      <c r="M134" s="431"/>
      <c r="N134" s="432"/>
    </row>
    <row r="135" spans="1:14" ht="18" customHeight="1" x14ac:dyDescent="0.25">
      <c r="A135" s="431"/>
      <c r="B135" s="490"/>
      <c r="C135" s="541">
        <v>106.8</v>
      </c>
      <c r="D135" s="542">
        <v>111.2</v>
      </c>
      <c r="E135" s="543">
        <v>106.7</v>
      </c>
      <c r="F135" s="508">
        <v>110.1</v>
      </c>
      <c r="G135" s="544">
        <v>101.4</v>
      </c>
      <c r="H135" s="544"/>
      <c r="I135" s="542">
        <v>102.5</v>
      </c>
      <c r="J135" s="543">
        <v>102.6</v>
      </c>
      <c r="K135" s="573">
        <v>109.9</v>
      </c>
      <c r="L135" s="547">
        <v>110.3</v>
      </c>
      <c r="M135" s="431"/>
      <c r="N135" s="432"/>
    </row>
    <row r="136" spans="1:14" ht="18" customHeight="1" x14ac:dyDescent="0.25">
      <c r="A136" s="431"/>
      <c r="B136" s="490"/>
      <c r="C136" s="541">
        <v>107</v>
      </c>
      <c r="D136" s="542">
        <v>111.2</v>
      </c>
      <c r="E136" s="543">
        <v>108.5</v>
      </c>
      <c r="F136" s="508">
        <v>112.2</v>
      </c>
      <c r="G136" s="544">
        <v>102.1</v>
      </c>
      <c r="H136" s="544"/>
      <c r="I136" s="542">
        <v>102.6</v>
      </c>
      <c r="J136" s="543">
        <v>103.5</v>
      </c>
      <c r="K136" s="573">
        <v>112</v>
      </c>
      <c r="L136" s="547">
        <v>112.4</v>
      </c>
      <c r="M136" s="431"/>
      <c r="N136" s="432"/>
    </row>
    <row r="137" spans="1:14" ht="18" customHeight="1" thickBot="1" x14ac:dyDescent="0.3">
      <c r="A137" s="431"/>
      <c r="B137" s="490"/>
      <c r="C137" s="579">
        <v>107.3</v>
      </c>
      <c r="D137" s="580">
        <v>112.6</v>
      </c>
      <c r="E137" s="581">
        <v>113.3</v>
      </c>
      <c r="F137" s="582">
        <v>117.8</v>
      </c>
      <c r="G137" s="583">
        <v>101.9</v>
      </c>
      <c r="H137" s="583"/>
      <c r="I137" s="580">
        <v>102.6</v>
      </c>
      <c r="J137" s="581">
        <v>103.4</v>
      </c>
      <c r="K137" s="584">
        <v>117.5</v>
      </c>
      <c r="L137" s="585">
        <v>118.1</v>
      </c>
      <c r="M137" s="431"/>
      <c r="N137" s="432"/>
    </row>
    <row r="138" spans="1:14" ht="30" customHeight="1" x14ac:dyDescent="0.25">
      <c r="A138" s="431"/>
      <c r="B138" s="490"/>
      <c r="C138" s="811" t="s">
        <v>118</v>
      </c>
      <c r="D138" s="812"/>
      <c r="E138" s="812"/>
      <c r="F138" s="812"/>
      <c r="G138" s="812"/>
      <c r="H138" s="812"/>
      <c r="I138" s="812"/>
      <c r="J138" s="812"/>
      <c r="K138" s="812"/>
      <c r="L138" s="813"/>
      <c r="M138" s="431"/>
      <c r="N138" s="432"/>
    </row>
    <row r="139" spans="1:14" ht="35.25" customHeight="1" thickBot="1" x14ac:dyDescent="0.3">
      <c r="A139" s="431"/>
      <c r="B139" s="490"/>
      <c r="C139" s="814" t="s">
        <v>109</v>
      </c>
      <c r="D139" s="815"/>
      <c r="E139" s="815"/>
      <c r="F139" s="815"/>
      <c r="G139" s="815"/>
      <c r="H139" s="815"/>
      <c r="I139" s="815"/>
      <c r="J139" s="815"/>
      <c r="K139" s="815"/>
      <c r="L139" s="816"/>
      <c r="M139" s="431"/>
      <c r="N139" s="432"/>
    </row>
    <row r="140" spans="1:14" ht="7.5" customHeight="1" x14ac:dyDescent="0.25">
      <c r="A140" s="587"/>
      <c r="B140" s="588"/>
      <c r="C140" s="588"/>
      <c r="D140" s="588"/>
      <c r="E140" s="588"/>
      <c r="F140" s="588"/>
      <c r="G140" s="588"/>
      <c r="H140" s="588"/>
      <c r="I140" s="588"/>
      <c r="J140" s="588"/>
      <c r="K140" s="588"/>
      <c r="L140" s="588"/>
      <c r="M140" s="589"/>
      <c r="N140" s="432"/>
    </row>
    <row r="141" spans="1:14" ht="15" hidden="1" customHeight="1" thickBot="1" x14ac:dyDescent="0.25">
      <c r="A141" s="431"/>
      <c r="B141" s="443"/>
      <c r="C141" s="443"/>
      <c r="D141" s="443"/>
      <c r="E141" s="443"/>
      <c r="F141" s="443"/>
      <c r="G141" s="443"/>
      <c r="H141" s="443"/>
      <c r="I141" s="443"/>
      <c r="J141" s="443"/>
      <c r="K141" s="443"/>
      <c r="L141" s="443"/>
      <c r="M141" s="443"/>
    </row>
    <row r="142" spans="1:14" s="595" customFormat="1" ht="15" hidden="1" customHeight="1" thickBot="1" x14ac:dyDescent="0.3">
      <c r="A142" s="590"/>
      <c r="B142" s="591"/>
      <c r="C142" s="452">
        <v>2.2719999999999998</v>
      </c>
      <c r="D142" s="449">
        <v>2.89</v>
      </c>
      <c r="E142" s="592">
        <v>3.22</v>
      </c>
      <c r="F142" s="593">
        <v>4.149</v>
      </c>
      <c r="G142" s="452">
        <v>1.909</v>
      </c>
      <c r="H142" s="593"/>
      <c r="I142" s="449">
        <v>2.1960000000000002</v>
      </c>
      <c r="J142" s="592">
        <v>1.992</v>
      </c>
      <c r="K142" s="452">
        <v>4.24</v>
      </c>
      <c r="L142" s="594">
        <v>4.2050000000000001</v>
      </c>
      <c r="M142" s="590"/>
    </row>
    <row r="143" spans="1:14" ht="15" hidden="1" customHeight="1" x14ac:dyDescent="0.25">
      <c r="A143" s="431"/>
      <c r="B143" s="431"/>
      <c r="C143" s="431"/>
      <c r="D143" s="431"/>
      <c r="E143" s="431"/>
      <c r="F143" s="431"/>
      <c r="G143" s="431"/>
      <c r="H143" s="431"/>
      <c r="I143" s="431"/>
      <c r="J143" s="431"/>
      <c r="K143" s="431"/>
      <c r="L143" s="431"/>
      <c r="M143" s="431"/>
    </row>
    <row r="144" spans="1:14" ht="15" hidden="1" customHeight="1" x14ac:dyDescent="0.25"/>
    <row r="145" spans="3:12" ht="15" hidden="1" customHeight="1" x14ac:dyDescent="0.25">
      <c r="C145" s="596"/>
      <c r="D145" s="596"/>
      <c r="E145" s="596"/>
      <c r="F145" s="596"/>
      <c r="G145" s="596"/>
      <c r="H145" s="596"/>
      <c r="I145" s="596"/>
      <c r="J145" s="596"/>
      <c r="K145" s="596"/>
      <c r="L145" s="596"/>
    </row>
    <row r="146" spans="3:12" ht="18" hidden="1" customHeight="1" x14ac:dyDescent="0.25">
      <c r="C146" s="596"/>
      <c r="D146" s="596"/>
      <c r="E146" s="596"/>
      <c r="F146" s="596"/>
      <c r="G146" s="596"/>
      <c r="H146" s="596"/>
      <c r="I146" s="596"/>
      <c r="J146" s="596"/>
      <c r="K146" s="596"/>
      <c r="L146" s="596"/>
    </row>
    <row r="147" spans="3:12" ht="18" hidden="1" customHeight="1" x14ac:dyDescent="0.25">
      <c r="C147" s="596"/>
      <c r="D147" s="596"/>
      <c r="E147" s="596"/>
      <c r="F147" s="596"/>
      <c r="G147" s="596"/>
      <c r="H147" s="596"/>
      <c r="I147" s="596"/>
      <c r="J147" s="596"/>
      <c r="K147" s="596"/>
      <c r="L147" s="596"/>
    </row>
    <row r="148" spans="3:12" ht="18" hidden="1" customHeight="1" x14ac:dyDescent="0.25">
      <c r="C148" s="596"/>
      <c r="D148" s="596"/>
      <c r="E148" s="596"/>
      <c r="F148" s="596"/>
      <c r="G148" s="596"/>
      <c r="H148" s="596"/>
      <c r="I148" s="596"/>
      <c r="J148" s="596"/>
      <c r="K148" s="596"/>
      <c r="L148" s="596"/>
    </row>
  </sheetData>
  <mergeCells count="15">
    <mergeCell ref="I4:L5"/>
    <mergeCell ref="D13:L13"/>
    <mergeCell ref="O125:P126"/>
    <mergeCell ref="C138:L138"/>
    <mergeCell ref="C139:L139"/>
    <mergeCell ref="K14:L14"/>
    <mergeCell ref="C124:L124"/>
    <mergeCell ref="C125:L125"/>
    <mergeCell ref="D14:D15"/>
    <mergeCell ref="E14:E15"/>
    <mergeCell ref="F14:F15"/>
    <mergeCell ref="G14:G15"/>
    <mergeCell ref="I14:I15"/>
    <mergeCell ref="J14:J15"/>
    <mergeCell ref="C14:C1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58"/>
  <sheetViews>
    <sheetView view="pageBreakPreview" zoomScale="75" zoomScaleNormal="100" zoomScaleSheetLayoutView="75" workbookViewId="0">
      <pane xSplit="3" ySplit="15" topLeftCell="D95" activePane="bottomRight" state="frozen"/>
      <selection pane="topRight" activeCell="D1" sqref="D1"/>
      <selection pane="bottomLeft" activeCell="A14" sqref="A14"/>
      <selection pane="bottomRight" activeCell="B9" sqref="B9:B11"/>
    </sheetView>
  </sheetViews>
  <sheetFormatPr defaultColWidth="9.140625" defaultRowHeight="18" customHeight="1" x14ac:dyDescent="0.25"/>
  <cols>
    <col min="1" max="1" width="1.28515625" style="180" customWidth="1"/>
    <col min="2" max="2" width="9.42578125" style="180" customWidth="1"/>
    <col min="3" max="3" width="8.7109375" style="180" customWidth="1"/>
    <col min="4" max="12" width="15.5703125" style="180" customWidth="1"/>
    <col min="13" max="13" width="1.28515625" style="180" customWidth="1"/>
    <col min="14" max="14" width="21" style="180" customWidth="1"/>
    <col min="15" max="15" width="18.85546875" style="180" customWidth="1"/>
    <col min="16" max="16" width="21.28515625" style="180" customWidth="1"/>
    <col min="17" max="17" width="19.28515625" style="180" customWidth="1"/>
    <col min="18" max="18" width="19.5703125" style="180" customWidth="1"/>
    <col min="19" max="19" width="18.28515625" style="180" customWidth="1"/>
    <col min="20" max="20" width="18" style="180" customWidth="1"/>
    <col min="21" max="21" width="19.5703125" style="180" customWidth="1"/>
    <col min="22" max="22" width="15.5703125" style="180" customWidth="1"/>
    <col min="23" max="23" width="1.28515625" style="180" customWidth="1"/>
    <col min="24" max="24" width="18" style="180" customWidth="1"/>
    <col min="25" max="27" width="9.140625" style="180"/>
    <col min="28" max="28" width="5.7109375" style="180" customWidth="1"/>
    <col min="29" max="29" width="9.140625" style="180" hidden="1" customWidth="1"/>
    <col min="30" max="16384" width="9.140625" style="180"/>
  </cols>
  <sheetData>
    <row r="1" spans="1:25" ht="7.5" customHeight="1" x14ac:dyDescent="0.25">
      <c r="A1" s="220"/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35"/>
    </row>
    <row r="2" spans="1:25" ht="18" customHeight="1" x14ac:dyDescent="0.25">
      <c r="A2" s="220"/>
      <c r="B2" s="220"/>
      <c r="C2" s="220"/>
      <c r="D2" s="227" t="s">
        <v>143</v>
      </c>
      <c r="E2" s="220"/>
      <c r="F2" s="220"/>
      <c r="G2" s="220"/>
      <c r="H2" s="220"/>
      <c r="I2" s="220"/>
      <c r="J2" s="220"/>
      <c r="K2" s="220"/>
      <c r="L2" s="417" t="s">
        <v>139</v>
      </c>
      <c r="M2" s="220"/>
      <c r="N2" s="227" t="s">
        <v>143</v>
      </c>
      <c r="O2" s="220"/>
      <c r="P2" s="220"/>
      <c r="Q2" s="220"/>
      <c r="R2" s="220"/>
      <c r="S2" s="220"/>
      <c r="T2" s="220"/>
      <c r="U2" s="220"/>
      <c r="V2" s="417" t="s">
        <v>139</v>
      </c>
      <c r="W2" s="220"/>
      <c r="X2" s="235"/>
    </row>
    <row r="3" spans="1:25" ht="6" customHeight="1" thickBot="1" x14ac:dyDescent="0.3">
      <c r="A3" s="220"/>
      <c r="B3" s="220"/>
      <c r="C3" s="220"/>
      <c r="D3" s="227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35"/>
    </row>
    <row r="4" spans="1:25" ht="18" customHeight="1" x14ac:dyDescent="0.25">
      <c r="A4" s="220"/>
      <c r="B4" s="220"/>
      <c r="C4" s="220"/>
      <c r="D4" s="229" t="s">
        <v>142</v>
      </c>
      <c r="E4" s="230"/>
      <c r="F4" s="230"/>
      <c r="G4" s="230"/>
      <c r="H4" s="852" t="s">
        <v>137</v>
      </c>
      <c r="I4" s="852"/>
      <c r="J4" s="852"/>
      <c r="K4" s="852"/>
      <c r="L4" s="853"/>
      <c r="M4" s="220"/>
      <c r="N4" s="229" t="s">
        <v>71</v>
      </c>
      <c r="O4" s="230"/>
      <c r="P4" s="231"/>
      <c r="Q4" s="231"/>
      <c r="R4" s="358"/>
      <c r="S4" s="851" t="s">
        <v>113</v>
      </c>
      <c r="T4" s="852"/>
      <c r="U4" s="852"/>
      <c r="V4" s="853"/>
      <c r="W4" s="220"/>
      <c r="X4" s="235"/>
    </row>
    <row r="5" spans="1:25" ht="18" customHeight="1" thickBot="1" x14ac:dyDescent="0.3">
      <c r="A5" s="220"/>
      <c r="B5" s="220"/>
      <c r="C5" s="220"/>
      <c r="D5" s="233" t="s">
        <v>141</v>
      </c>
      <c r="E5" s="220"/>
      <c r="F5" s="220"/>
      <c r="G5" s="220"/>
      <c r="H5" s="855"/>
      <c r="I5" s="855"/>
      <c r="J5" s="855"/>
      <c r="K5" s="855"/>
      <c r="L5" s="856"/>
      <c r="M5" s="220"/>
      <c r="N5" s="233" t="s">
        <v>52</v>
      </c>
      <c r="O5" s="220"/>
      <c r="P5" s="227"/>
      <c r="Q5" s="227"/>
      <c r="R5" s="359"/>
      <c r="S5" s="854"/>
      <c r="T5" s="855"/>
      <c r="U5" s="855"/>
      <c r="V5" s="856"/>
      <c r="W5" s="220"/>
      <c r="X5" s="235"/>
    </row>
    <row r="6" spans="1:25" ht="6" hidden="1" customHeight="1" thickBot="1" x14ac:dyDescent="0.3">
      <c r="A6" s="220"/>
      <c r="B6" s="220"/>
      <c r="C6" s="220"/>
      <c r="D6" s="228"/>
      <c r="E6" s="228"/>
      <c r="F6" s="228"/>
      <c r="G6" s="228"/>
      <c r="H6" s="228"/>
      <c r="I6" s="228"/>
      <c r="J6" s="228"/>
      <c r="K6" s="228"/>
      <c r="L6" s="228"/>
      <c r="M6" s="220"/>
      <c r="N6" s="228"/>
      <c r="O6" s="228"/>
      <c r="P6" s="228"/>
      <c r="Q6" s="228"/>
      <c r="R6" s="228"/>
      <c r="S6" s="228"/>
      <c r="T6" s="228"/>
      <c r="U6" s="228"/>
      <c r="V6" s="228"/>
      <c r="W6" s="220"/>
      <c r="X6" s="235"/>
    </row>
    <row r="7" spans="1:25" s="179" customFormat="1" ht="28.5" hidden="1" customHeight="1" thickBot="1" x14ac:dyDescent="0.3">
      <c r="A7" s="224"/>
      <c r="B7" s="857" t="s">
        <v>66</v>
      </c>
      <c r="C7" s="857"/>
      <c r="D7" s="189">
        <v>0.79176563740000006</v>
      </c>
      <c r="E7" s="190">
        <v>0.78616352199999995</v>
      </c>
      <c r="F7" s="189">
        <v>0.77519379840000002</v>
      </c>
      <c r="G7" s="189">
        <v>0.77579519009999998</v>
      </c>
      <c r="H7" s="190">
        <v>0.8006405124</v>
      </c>
      <c r="I7" s="189">
        <v>0.77279752700000004</v>
      </c>
      <c r="J7" s="192">
        <v>0.78864353310000002</v>
      </c>
      <c r="K7" s="189">
        <v>0.78740157479999995</v>
      </c>
      <c r="L7" s="189">
        <v>0.79744816590000001</v>
      </c>
      <c r="M7" s="221"/>
      <c r="N7" s="194">
        <v>2.2719999999999998</v>
      </c>
      <c r="O7" s="195">
        <v>2.89</v>
      </c>
      <c r="P7" s="195">
        <v>3.22</v>
      </c>
      <c r="Q7" s="196">
        <v>4.149</v>
      </c>
      <c r="R7" s="196">
        <v>1.909</v>
      </c>
      <c r="S7" s="196">
        <v>2.1960000000000002</v>
      </c>
      <c r="T7" s="197">
        <v>1.992</v>
      </c>
      <c r="U7" s="198">
        <v>4.24</v>
      </c>
      <c r="V7" s="197">
        <v>4.2050000000000001</v>
      </c>
      <c r="W7" s="226"/>
      <c r="X7" s="236"/>
      <c r="Y7" s="178"/>
    </row>
    <row r="8" spans="1:25" ht="6" customHeight="1" thickBot="1" x14ac:dyDescent="0.3">
      <c r="A8" s="220"/>
      <c r="B8" s="220"/>
      <c r="C8" s="220"/>
      <c r="D8" s="185"/>
      <c r="E8" s="185"/>
      <c r="F8" s="185"/>
      <c r="G8" s="185"/>
      <c r="H8" s="185"/>
      <c r="I8" s="185"/>
      <c r="J8" s="185"/>
      <c r="K8" s="185"/>
      <c r="L8" s="185"/>
      <c r="M8" s="220"/>
      <c r="N8" s="185"/>
      <c r="O8" s="185"/>
      <c r="P8" s="185"/>
      <c r="Q8" s="185"/>
      <c r="R8" s="185"/>
      <c r="S8" s="185"/>
      <c r="T8" s="185"/>
      <c r="U8" s="185"/>
      <c r="V8" s="185"/>
      <c r="W8" s="220"/>
      <c r="X8" s="235"/>
    </row>
    <row r="9" spans="1:25" ht="18" customHeight="1" thickBot="1" x14ac:dyDescent="0.3">
      <c r="A9" s="220"/>
      <c r="B9" s="863" t="s">
        <v>145</v>
      </c>
      <c r="C9" s="220"/>
      <c r="D9" s="184" t="s">
        <v>94</v>
      </c>
      <c r="E9" s="181"/>
      <c r="F9" s="181"/>
      <c r="G9" s="181"/>
      <c r="H9" s="181"/>
      <c r="I9" s="181"/>
      <c r="J9" s="181"/>
      <c r="K9" s="181"/>
      <c r="L9" s="183"/>
      <c r="M9" s="222"/>
      <c r="N9" s="184" t="s">
        <v>94</v>
      </c>
      <c r="O9" s="182"/>
      <c r="P9" s="182"/>
      <c r="Q9" s="181"/>
      <c r="R9" s="181"/>
      <c r="S9" s="181"/>
      <c r="T9" s="181"/>
      <c r="U9" s="181"/>
      <c r="V9" s="183"/>
      <c r="W9" s="220"/>
      <c r="X9" s="235"/>
    </row>
    <row r="10" spans="1:25" ht="6" customHeight="1" thickBot="1" x14ac:dyDescent="0.3">
      <c r="A10" s="220"/>
      <c r="B10" s="863"/>
      <c r="C10" s="220"/>
      <c r="D10" s="228"/>
      <c r="E10" s="228"/>
      <c r="F10" s="228"/>
      <c r="G10" s="228"/>
      <c r="H10" s="228"/>
      <c r="I10" s="228"/>
      <c r="J10" s="228"/>
      <c r="K10" s="228"/>
      <c r="L10" s="228"/>
      <c r="M10" s="220"/>
      <c r="N10" s="228"/>
      <c r="O10" s="228"/>
      <c r="P10" s="228"/>
      <c r="Q10" s="228"/>
      <c r="R10" s="228"/>
      <c r="S10" s="228"/>
      <c r="T10" s="228"/>
      <c r="U10" s="228"/>
      <c r="V10" s="228"/>
      <c r="W10" s="220"/>
      <c r="X10" s="235"/>
    </row>
    <row r="11" spans="1:25" ht="18" customHeight="1" thickBot="1" x14ac:dyDescent="0.3">
      <c r="A11" s="220"/>
      <c r="B11" s="863"/>
      <c r="C11" s="416" t="s">
        <v>135</v>
      </c>
      <c r="D11" s="418">
        <f>CPI!D11</f>
        <v>0.79617834389999997</v>
      </c>
      <c r="E11" s="419">
        <f>CPI!E11</f>
        <v>0.7955449483</v>
      </c>
      <c r="F11" s="419">
        <f>CPI!F11</f>
        <v>0.81967213110000003</v>
      </c>
      <c r="G11" s="419">
        <f>CPI!G11</f>
        <v>0.79681274899999999</v>
      </c>
      <c r="H11" s="419">
        <f>CPI!H11</f>
        <v>0.8</v>
      </c>
      <c r="I11" s="419">
        <f>CPI!I11</f>
        <v>0.80906148870000005</v>
      </c>
      <c r="J11" s="419">
        <f>CPI!J11</f>
        <v>0.80192461910000001</v>
      </c>
      <c r="K11" s="419">
        <f>CPI!K11</f>
        <v>0.81103000810000003</v>
      </c>
      <c r="L11" s="420">
        <f>CPI!L11</f>
        <v>0.79051383399999997</v>
      </c>
      <c r="M11" s="430"/>
      <c r="N11" s="421">
        <v>0.87565674255691806</v>
      </c>
      <c r="O11" s="422">
        <v>0.84317032040472195</v>
      </c>
      <c r="P11" s="423">
        <v>0.97276264591439698</v>
      </c>
      <c r="Q11" s="424">
        <v>0.98135426889107003</v>
      </c>
      <c r="R11" s="425">
        <v>0.76923076923076905</v>
      </c>
      <c r="S11" s="426">
        <v>0.79302141157811301</v>
      </c>
      <c r="T11" s="427">
        <v>0.85251491901108301</v>
      </c>
      <c r="U11" s="428">
        <v>0.974658869395712</v>
      </c>
      <c r="V11" s="429">
        <v>0.98814229249011898</v>
      </c>
      <c r="W11" s="220"/>
      <c r="X11" s="235"/>
    </row>
    <row r="12" spans="1:25" ht="6" customHeight="1" thickBot="1" x14ac:dyDescent="0.3">
      <c r="A12" s="220"/>
      <c r="B12" s="220"/>
      <c r="C12" s="220"/>
      <c r="D12" s="228"/>
      <c r="E12" s="228"/>
      <c r="F12" s="228"/>
      <c r="G12" s="228"/>
      <c r="H12" s="228"/>
      <c r="I12" s="228"/>
      <c r="J12" s="228"/>
      <c r="K12" s="228"/>
      <c r="L12" s="228"/>
      <c r="M12" s="220"/>
      <c r="N12" s="228"/>
      <c r="O12" s="228"/>
      <c r="P12" s="228"/>
      <c r="Q12" s="228"/>
      <c r="R12" s="228"/>
      <c r="S12" s="228"/>
      <c r="T12" s="228"/>
      <c r="U12" s="228"/>
      <c r="V12" s="228"/>
      <c r="W12" s="220"/>
      <c r="X12" s="235"/>
    </row>
    <row r="13" spans="1:25" ht="18" customHeight="1" thickBot="1" x14ac:dyDescent="0.3">
      <c r="A13" s="220"/>
      <c r="B13" s="858" t="s">
        <v>136</v>
      </c>
      <c r="C13" s="859"/>
      <c r="D13" s="405">
        <v>3</v>
      </c>
      <c r="E13" s="406">
        <v>4</v>
      </c>
      <c r="F13" s="406">
        <v>5</v>
      </c>
      <c r="G13" s="406">
        <v>6</v>
      </c>
      <c r="H13" s="406">
        <v>7</v>
      </c>
      <c r="I13" s="406">
        <v>8</v>
      </c>
      <c r="J13" s="406">
        <v>9</v>
      </c>
      <c r="K13" s="406">
        <v>10</v>
      </c>
      <c r="L13" s="407">
        <v>11</v>
      </c>
      <c r="M13" s="213"/>
      <c r="N13" s="214">
        <v>3</v>
      </c>
      <c r="O13" s="860">
        <v>4</v>
      </c>
      <c r="P13" s="861"/>
      <c r="Q13" s="861"/>
      <c r="R13" s="861"/>
      <c r="S13" s="861"/>
      <c r="T13" s="861"/>
      <c r="U13" s="861"/>
      <c r="V13" s="862"/>
      <c r="W13" s="220"/>
      <c r="X13" s="235"/>
    </row>
    <row r="14" spans="1:25" ht="18" customHeight="1" thickBot="1" x14ac:dyDescent="0.3">
      <c r="A14" s="220"/>
      <c r="B14" s="870" t="s">
        <v>72</v>
      </c>
      <c r="C14" s="872" t="s">
        <v>73</v>
      </c>
      <c r="D14" s="874" t="s">
        <v>8</v>
      </c>
      <c r="E14" s="876" t="s">
        <v>67</v>
      </c>
      <c r="F14" s="876" t="s">
        <v>9</v>
      </c>
      <c r="G14" s="876" t="s">
        <v>58</v>
      </c>
      <c r="H14" s="876" t="s">
        <v>68</v>
      </c>
      <c r="I14" s="876" t="s">
        <v>24</v>
      </c>
      <c r="J14" s="876" t="s">
        <v>11</v>
      </c>
      <c r="K14" s="876" t="s">
        <v>12</v>
      </c>
      <c r="L14" s="878" t="s">
        <v>13</v>
      </c>
      <c r="M14" s="212"/>
      <c r="N14" s="837" t="s">
        <v>87</v>
      </c>
      <c r="O14" s="839" t="s">
        <v>88</v>
      </c>
      <c r="P14" s="845" t="s">
        <v>89</v>
      </c>
      <c r="Q14" s="847" t="s">
        <v>114</v>
      </c>
      <c r="R14" s="849" t="s">
        <v>91</v>
      </c>
      <c r="S14" s="841" t="s">
        <v>92</v>
      </c>
      <c r="T14" s="843" t="s">
        <v>93</v>
      </c>
      <c r="U14" s="835" t="s">
        <v>115</v>
      </c>
      <c r="V14" s="836"/>
      <c r="W14" s="220"/>
      <c r="X14" s="235"/>
    </row>
    <row r="15" spans="1:25" ht="18" customHeight="1" thickBot="1" x14ac:dyDescent="0.3">
      <c r="A15" s="220"/>
      <c r="B15" s="871"/>
      <c r="C15" s="873"/>
      <c r="D15" s="875"/>
      <c r="E15" s="877"/>
      <c r="F15" s="877"/>
      <c r="G15" s="877"/>
      <c r="H15" s="877"/>
      <c r="I15" s="877"/>
      <c r="J15" s="877"/>
      <c r="K15" s="877"/>
      <c r="L15" s="879"/>
      <c r="M15" s="212"/>
      <c r="N15" s="838"/>
      <c r="O15" s="840"/>
      <c r="P15" s="846"/>
      <c r="Q15" s="848"/>
      <c r="R15" s="850"/>
      <c r="S15" s="842"/>
      <c r="T15" s="844"/>
      <c r="U15" s="384" t="s">
        <v>116</v>
      </c>
      <c r="V15" s="385" t="s">
        <v>117</v>
      </c>
      <c r="W15" s="220"/>
      <c r="X15" s="235"/>
    </row>
    <row r="16" spans="1:25" ht="18" customHeight="1" x14ac:dyDescent="0.25">
      <c r="A16" s="220"/>
      <c r="B16" s="215">
        <v>1</v>
      </c>
      <c r="C16" s="216">
        <v>2008</v>
      </c>
      <c r="D16" s="241">
        <v>75.5</v>
      </c>
      <c r="E16" s="246">
        <v>74</v>
      </c>
      <c r="F16" s="246">
        <v>74.5</v>
      </c>
      <c r="G16" s="246">
        <v>74.5</v>
      </c>
      <c r="H16" s="246">
        <v>75.5</v>
      </c>
      <c r="I16" s="246">
        <v>74.599999999999994</v>
      </c>
      <c r="J16" s="246">
        <v>75.599999999999994</v>
      </c>
      <c r="K16" s="246">
        <v>74.7</v>
      </c>
      <c r="L16" s="242">
        <v>75.400000000000006</v>
      </c>
      <c r="M16" s="223"/>
      <c r="N16" s="272">
        <v>81</v>
      </c>
      <c r="O16" s="273"/>
      <c r="P16" s="274"/>
      <c r="Q16" s="360">
        <v>73.900000000000006</v>
      </c>
      <c r="R16" s="276">
        <v>80.5</v>
      </c>
      <c r="S16" s="277"/>
      <c r="T16" s="278"/>
      <c r="U16" s="379">
        <v>68.599999999999994</v>
      </c>
      <c r="V16" s="380">
        <v>67.7</v>
      </c>
      <c r="W16" s="220"/>
      <c r="X16" s="235"/>
    </row>
    <row r="17" spans="1:24" ht="18" customHeight="1" x14ac:dyDescent="0.25">
      <c r="A17" s="220"/>
      <c r="B17" s="210">
        <v>2</v>
      </c>
      <c r="C17" s="206">
        <v>2008</v>
      </c>
      <c r="D17" s="249">
        <v>75.8</v>
      </c>
      <c r="E17" s="254">
        <v>74.3</v>
      </c>
      <c r="F17" s="254">
        <v>74.7</v>
      </c>
      <c r="G17" s="254">
        <v>74.8</v>
      </c>
      <c r="H17" s="254">
        <v>75.900000000000006</v>
      </c>
      <c r="I17" s="254">
        <v>75.099999999999994</v>
      </c>
      <c r="J17" s="254">
        <v>76.2</v>
      </c>
      <c r="K17" s="254">
        <v>75</v>
      </c>
      <c r="L17" s="250">
        <v>75.8</v>
      </c>
      <c r="M17" s="223"/>
      <c r="N17" s="281">
        <v>82.2</v>
      </c>
      <c r="O17" s="282"/>
      <c r="P17" s="283"/>
      <c r="Q17" s="361">
        <v>78.099999999999994</v>
      </c>
      <c r="R17" s="285">
        <v>84.5</v>
      </c>
      <c r="S17" s="286"/>
      <c r="T17" s="287"/>
      <c r="U17" s="373">
        <v>69.3</v>
      </c>
      <c r="V17" s="374">
        <v>68.400000000000006</v>
      </c>
      <c r="W17" s="220"/>
      <c r="X17" s="235"/>
    </row>
    <row r="18" spans="1:24" ht="18" customHeight="1" x14ac:dyDescent="0.25">
      <c r="A18" s="220"/>
      <c r="B18" s="210">
        <v>3</v>
      </c>
      <c r="C18" s="206">
        <v>2008</v>
      </c>
      <c r="D18" s="249">
        <v>77</v>
      </c>
      <c r="E18" s="254">
        <v>75.3</v>
      </c>
      <c r="F18" s="254">
        <v>75.599999999999994</v>
      </c>
      <c r="G18" s="254">
        <v>75.900000000000006</v>
      </c>
      <c r="H18" s="254">
        <v>76.5</v>
      </c>
      <c r="I18" s="254">
        <v>76.2</v>
      </c>
      <c r="J18" s="254">
        <v>77.5</v>
      </c>
      <c r="K18" s="254">
        <v>75.5</v>
      </c>
      <c r="L18" s="250">
        <v>76.599999999999994</v>
      </c>
      <c r="M18" s="223"/>
      <c r="N18" s="281">
        <v>82.7</v>
      </c>
      <c r="O18" s="286"/>
      <c r="P18" s="290"/>
      <c r="Q18" s="361">
        <v>89.3</v>
      </c>
      <c r="R18" s="285">
        <v>84.5</v>
      </c>
      <c r="S18" s="286"/>
      <c r="T18" s="287"/>
      <c r="U18" s="373">
        <v>76.599999999999994</v>
      </c>
      <c r="V18" s="374">
        <v>75.8</v>
      </c>
      <c r="W18" s="220"/>
      <c r="X18" s="235"/>
    </row>
    <row r="19" spans="1:24" ht="18" customHeight="1" x14ac:dyDescent="0.25">
      <c r="A19" s="220"/>
      <c r="B19" s="210">
        <v>4</v>
      </c>
      <c r="C19" s="206">
        <v>2008</v>
      </c>
      <c r="D19" s="249">
        <v>77.5</v>
      </c>
      <c r="E19" s="254">
        <v>75.900000000000006</v>
      </c>
      <c r="F19" s="254">
        <v>76.2</v>
      </c>
      <c r="G19" s="254">
        <v>76.400000000000006</v>
      </c>
      <c r="H19" s="254">
        <v>77.2</v>
      </c>
      <c r="I19" s="254">
        <v>76.8</v>
      </c>
      <c r="J19" s="254">
        <v>77.900000000000006</v>
      </c>
      <c r="K19" s="254">
        <v>75.900000000000006</v>
      </c>
      <c r="L19" s="250">
        <v>77.3</v>
      </c>
      <c r="M19" s="223"/>
      <c r="N19" s="281">
        <v>84.1</v>
      </c>
      <c r="O19" s="286"/>
      <c r="P19" s="290"/>
      <c r="Q19" s="361">
        <v>103.2</v>
      </c>
      <c r="R19" s="285">
        <v>84.5</v>
      </c>
      <c r="S19" s="286"/>
      <c r="T19" s="287"/>
      <c r="U19" s="373">
        <v>88.9</v>
      </c>
      <c r="V19" s="374">
        <v>88</v>
      </c>
      <c r="W19" s="220"/>
      <c r="X19" s="235"/>
    </row>
    <row r="20" spans="1:24" ht="18" customHeight="1" x14ac:dyDescent="0.25">
      <c r="A20" s="220"/>
      <c r="B20" s="210">
        <v>5</v>
      </c>
      <c r="C20" s="206">
        <v>2008</v>
      </c>
      <c r="D20" s="249">
        <v>78</v>
      </c>
      <c r="E20" s="254">
        <v>76.599999999999994</v>
      </c>
      <c r="F20" s="254">
        <v>76.8</v>
      </c>
      <c r="G20" s="254">
        <v>76.900000000000006</v>
      </c>
      <c r="H20" s="254">
        <v>77.7</v>
      </c>
      <c r="I20" s="254">
        <v>77.400000000000006</v>
      </c>
      <c r="J20" s="254">
        <v>78.5</v>
      </c>
      <c r="K20" s="254">
        <v>76.599999999999994</v>
      </c>
      <c r="L20" s="250">
        <v>77.599999999999994</v>
      </c>
      <c r="M20" s="223"/>
      <c r="N20" s="281">
        <v>87.6</v>
      </c>
      <c r="O20" s="286"/>
      <c r="P20" s="290"/>
      <c r="Q20" s="361">
        <v>114.4</v>
      </c>
      <c r="R20" s="285">
        <v>88.2</v>
      </c>
      <c r="S20" s="286"/>
      <c r="T20" s="287"/>
      <c r="U20" s="373">
        <v>95.4</v>
      </c>
      <c r="V20" s="374">
        <v>94.7</v>
      </c>
      <c r="W20" s="220"/>
      <c r="X20" s="235"/>
    </row>
    <row r="21" spans="1:24" ht="18" customHeight="1" x14ac:dyDescent="0.25">
      <c r="A21" s="220"/>
      <c r="B21" s="210">
        <v>6</v>
      </c>
      <c r="C21" s="206">
        <v>2008</v>
      </c>
      <c r="D21" s="249">
        <v>78.8</v>
      </c>
      <c r="E21" s="254">
        <v>77.7</v>
      </c>
      <c r="F21" s="254">
        <v>77.8</v>
      </c>
      <c r="G21" s="254">
        <v>77.8</v>
      </c>
      <c r="H21" s="254">
        <v>79.2</v>
      </c>
      <c r="I21" s="254">
        <v>78.5</v>
      </c>
      <c r="J21" s="254">
        <v>79.7</v>
      </c>
      <c r="K21" s="254">
        <v>77.599999999999994</v>
      </c>
      <c r="L21" s="250">
        <v>78.900000000000006</v>
      </c>
      <c r="M21" s="223"/>
      <c r="N21" s="281">
        <v>88.8</v>
      </c>
      <c r="O21" s="282"/>
      <c r="P21" s="290"/>
      <c r="Q21" s="361">
        <v>126.3</v>
      </c>
      <c r="R21" s="285">
        <v>88.2</v>
      </c>
      <c r="S21" s="286"/>
      <c r="T21" s="287"/>
      <c r="U21" s="373">
        <v>102.2</v>
      </c>
      <c r="V21" s="374">
        <v>101.5</v>
      </c>
      <c r="W21" s="220"/>
      <c r="X21" s="235"/>
    </row>
    <row r="22" spans="1:24" ht="18" customHeight="1" x14ac:dyDescent="0.25">
      <c r="A22" s="220"/>
      <c r="B22" s="210">
        <v>7</v>
      </c>
      <c r="C22" s="206">
        <v>2008</v>
      </c>
      <c r="D22" s="249">
        <v>79.900000000000006</v>
      </c>
      <c r="E22" s="254">
        <v>78.7</v>
      </c>
      <c r="F22" s="254">
        <v>78.599999999999994</v>
      </c>
      <c r="G22" s="254">
        <v>78.7</v>
      </c>
      <c r="H22" s="254">
        <v>80.599999999999994</v>
      </c>
      <c r="I22" s="254">
        <v>79.400000000000006</v>
      </c>
      <c r="J22" s="254">
        <v>80.599999999999994</v>
      </c>
      <c r="K22" s="254">
        <v>78.7</v>
      </c>
      <c r="L22" s="250">
        <v>79.900000000000006</v>
      </c>
      <c r="M22" s="223"/>
      <c r="N22" s="281">
        <v>89.7</v>
      </c>
      <c r="O22" s="286"/>
      <c r="P22" s="290"/>
      <c r="Q22" s="361">
        <v>124.4</v>
      </c>
      <c r="R22" s="285">
        <v>88.2</v>
      </c>
      <c r="S22" s="286"/>
      <c r="T22" s="287"/>
      <c r="U22" s="373">
        <v>108.2</v>
      </c>
      <c r="V22" s="374">
        <v>107.5</v>
      </c>
      <c r="W22" s="220"/>
      <c r="X22" s="235"/>
    </row>
    <row r="23" spans="1:24" ht="18" customHeight="1" x14ac:dyDescent="0.25">
      <c r="A23" s="220"/>
      <c r="B23" s="210">
        <v>8</v>
      </c>
      <c r="C23" s="206">
        <v>2008</v>
      </c>
      <c r="D23" s="249">
        <v>80.3</v>
      </c>
      <c r="E23" s="254">
        <v>79.400000000000006</v>
      </c>
      <c r="F23" s="254">
        <v>79.5</v>
      </c>
      <c r="G23" s="254">
        <v>79.3</v>
      </c>
      <c r="H23" s="254">
        <v>81.099999999999994</v>
      </c>
      <c r="I23" s="254">
        <v>80.099999999999994</v>
      </c>
      <c r="J23" s="254">
        <v>81</v>
      </c>
      <c r="K23" s="254">
        <v>79.2</v>
      </c>
      <c r="L23" s="250">
        <v>80.599999999999994</v>
      </c>
      <c r="M23" s="223"/>
      <c r="N23" s="281">
        <v>95.6</v>
      </c>
      <c r="O23" s="286"/>
      <c r="P23" s="290"/>
      <c r="Q23" s="361">
        <v>102</v>
      </c>
      <c r="R23" s="285">
        <v>91.9</v>
      </c>
      <c r="S23" s="286"/>
      <c r="T23" s="287"/>
      <c r="U23" s="373">
        <v>106.6</v>
      </c>
      <c r="V23" s="374">
        <v>105.9</v>
      </c>
      <c r="W23" s="220"/>
      <c r="X23" s="235"/>
    </row>
    <row r="24" spans="1:24" ht="18" customHeight="1" x14ac:dyDescent="0.25">
      <c r="A24" s="220"/>
      <c r="B24" s="210">
        <v>9</v>
      </c>
      <c r="C24" s="206">
        <v>2008</v>
      </c>
      <c r="D24" s="249">
        <v>80.900000000000006</v>
      </c>
      <c r="E24" s="254">
        <v>80.2</v>
      </c>
      <c r="F24" s="254">
        <v>80</v>
      </c>
      <c r="G24" s="254">
        <v>79.900000000000006</v>
      </c>
      <c r="H24" s="254">
        <v>81.5</v>
      </c>
      <c r="I24" s="254">
        <v>80.8</v>
      </c>
      <c r="J24" s="254">
        <v>81.3</v>
      </c>
      <c r="K24" s="254">
        <v>79.599999999999994</v>
      </c>
      <c r="L24" s="250">
        <v>81</v>
      </c>
      <c r="M24" s="223"/>
      <c r="N24" s="281">
        <v>96.3</v>
      </c>
      <c r="O24" s="286"/>
      <c r="P24" s="290"/>
      <c r="Q24" s="361">
        <v>95.8</v>
      </c>
      <c r="R24" s="285">
        <v>91.9</v>
      </c>
      <c r="S24" s="286"/>
      <c r="T24" s="287"/>
      <c r="U24" s="373">
        <v>93</v>
      </c>
      <c r="V24" s="374">
        <v>92.2</v>
      </c>
      <c r="W24" s="220"/>
      <c r="X24" s="235"/>
    </row>
    <row r="25" spans="1:24" ht="18" customHeight="1" x14ac:dyDescent="0.25">
      <c r="A25" s="220"/>
      <c r="B25" s="210">
        <v>10</v>
      </c>
      <c r="C25" s="206">
        <v>2008</v>
      </c>
      <c r="D25" s="249">
        <v>81.2</v>
      </c>
      <c r="E25" s="254">
        <v>80.5</v>
      </c>
      <c r="F25" s="254">
        <v>80.5</v>
      </c>
      <c r="G25" s="254">
        <v>80.099999999999994</v>
      </c>
      <c r="H25" s="254">
        <v>81.900000000000006</v>
      </c>
      <c r="I25" s="254">
        <v>81</v>
      </c>
      <c r="J25" s="254">
        <v>81.400000000000006</v>
      </c>
      <c r="K25" s="254">
        <v>80.099999999999994</v>
      </c>
      <c r="L25" s="250">
        <v>81.400000000000006</v>
      </c>
      <c r="M25" s="223"/>
      <c r="N25" s="281">
        <v>96.7</v>
      </c>
      <c r="O25" s="286"/>
      <c r="P25" s="290"/>
      <c r="Q25" s="361">
        <v>91.8</v>
      </c>
      <c r="R25" s="285">
        <v>91.9</v>
      </c>
      <c r="S25" s="286"/>
      <c r="T25" s="287"/>
      <c r="U25" s="373">
        <v>87.7</v>
      </c>
      <c r="V25" s="374">
        <v>86.8</v>
      </c>
      <c r="W25" s="220"/>
      <c r="X25" s="235"/>
    </row>
    <row r="26" spans="1:24" ht="18" customHeight="1" x14ac:dyDescent="0.25">
      <c r="A26" s="220"/>
      <c r="B26" s="210">
        <v>11</v>
      </c>
      <c r="C26" s="206">
        <v>2008</v>
      </c>
      <c r="D26" s="249">
        <v>81.3</v>
      </c>
      <c r="E26" s="254">
        <v>80.5</v>
      </c>
      <c r="F26" s="254">
        <v>80.5</v>
      </c>
      <c r="G26" s="254">
        <v>80.2</v>
      </c>
      <c r="H26" s="254">
        <v>81.900000000000006</v>
      </c>
      <c r="I26" s="254">
        <v>81.099999999999994</v>
      </c>
      <c r="J26" s="254">
        <v>81.5</v>
      </c>
      <c r="K26" s="254">
        <v>80.2</v>
      </c>
      <c r="L26" s="250">
        <v>81.7</v>
      </c>
      <c r="M26" s="223"/>
      <c r="N26" s="281">
        <v>96.5</v>
      </c>
      <c r="O26" s="286"/>
      <c r="P26" s="290"/>
      <c r="Q26" s="361">
        <v>81.900000000000006</v>
      </c>
      <c r="R26" s="285">
        <v>96.8</v>
      </c>
      <c r="S26" s="286"/>
      <c r="T26" s="287"/>
      <c r="U26" s="373">
        <v>85.4</v>
      </c>
      <c r="V26" s="374">
        <v>84.5</v>
      </c>
      <c r="W26" s="220"/>
      <c r="X26" s="235"/>
    </row>
    <row r="27" spans="1:24" ht="18" customHeight="1" x14ac:dyDescent="0.25">
      <c r="A27" s="220"/>
      <c r="B27" s="211">
        <v>12</v>
      </c>
      <c r="C27" s="208">
        <v>2008</v>
      </c>
      <c r="D27" s="257">
        <v>81.2</v>
      </c>
      <c r="E27" s="262">
        <v>80.2</v>
      </c>
      <c r="F27" s="262">
        <v>80.099999999999994</v>
      </c>
      <c r="G27" s="262">
        <v>80.099999999999994</v>
      </c>
      <c r="H27" s="262">
        <v>82</v>
      </c>
      <c r="I27" s="262">
        <v>81</v>
      </c>
      <c r="J27" s="262">
        <v>81.3</v>
      </c>
      <c r="K27" s="262">
        <v>80.2</v>
      </c>
      <c r="L27" s="258">
        <v>81.599999999999994</v>
      </c>
      <c r="M27" s="223"/>
      <c r="N27" s="291">
        <v>95.3</v>
      </c>
      <c r="O27" s="292"/>
      <c r="P27" s="293"/>
      <c r="Q27" s="362">
        <v>66.599999999999994</v>
      </c>
      <c r="R27" s="295">
        <v>96.8</v>
      </c>
      <c r="S27" s="292"/>
      <c r="T27" s="296"/>
      <c r="U27" s="375">
        <v>77.7</v>
      </c>
      <c r="V27" s="376">
        <v>76.8</v>
      </c>
      <c r="W27" s="220"/>
      <c r="X27" s="235"/>
    </row>
    <row r="28" spans="1:24" ht="18" customHeight="1" x14ac:dyDescent="0.25">
      <c r="A28" s="220"/>
      <c r="B28" s="209">
        <v>1</v>
      </c>
      <c r="C28" s="204">
        <v>2009</v>
      </c>
      <c r="D28" s="265">
        <v>81.3</v>
      </c>
      <c r="E28" s="270">
        <v>80.900000000000006</v>
      </c>
      <c r="F28" s="270">
        <v>80.2</v>
      </c>
      <c r="G28" s="270">
        <v>80.5</v>
      </c>
      <c r="H28" s="270">
        <v>82.8</v>
      </c>
      <c r="I28" s="270">
        <v>81.099999999999994</v>
      </c>
      <c r="J28" s="270">
        <v>81.5</v>
      </c>
      <c r="K28" s="270">
        <v>81</v>
      </c>
      <c r="L28" s="266">
        <v>82.1</v>
      </c>
      <c r="M28" s="223"/>
      <c r="N28" s="299">
        <v>96.7</v>
      </c>
      <c r="O28" s="300"/>
      <c r="P28" s="301"/>
      <c r="Q28" s="363">
        <v>69.7</v>
      </c>
      <c r="R28" s="303">
        <v>96.8</v>
      </c>
      <c r="S28" s="300"/>
      <c r="T28" s="304"/>
      <c r="U28" s="370">
        <v>61.9</v>
      </c>
      <c r="V28" s="371">
        <v>60.8</v>
      </c>
      <c r="W28" s="220"/>
      <c r="X28" s="235"/>
    </row>
    <row r="29" spans="1:24" ht="18" customHeight="1" x14ac:dyDescent="0.25">
      <c r="A29" s="220"/>
      <c r="B29" s="210">
        <v>2</v>
      </c>
      <c r="C29" s="206">
        <v>2009</v>
      </c>
      <c r="D29" s="249">
        <v>82.1</v>
      </c>
      <c r="E29" s="254">
        <v>81.7</v>
      </c>
      <c r="F29" s="254">
        <v>81.2</v>
      </c>
      <c r="G29" s="254">
        <v>81.400000000000006</v>
      </c>
      <c r="H29" s="254">
        <v>83.4</v>
      </c>
      <c r="I29" s="254">
        <v>82.1</v>
      </c>
      <c r="J29" s="254">
        <v>82.5</v>
      </c>
      <c r="K29" s="254">
        <v>82.2</v>
      </c>
      <c r="L29" s="250">
        <v>82.7</v>
      </c>
      <c r="M29" s="223"/>
      <c r="N29" s="306">
        <v>94.9</v>
      </c>
      <c r="O29" s="307"/>
      <c r="P29" s="308"/>
      <c r="Q29" s="361">
        <v>65.900000000000006</v>
      </c>
      <c r="R29" s="309">
        <v>101.1</v>
      </c>
      <c r="S29" s="307"/>
      <c r="T29" s="310"/>
      <c r="U29" s="366">
        <v>61.4</v>
      </c>
      <c r="V29" s="367">
        <v>60.4</v>
      </c>
      <c r="W29" s="220"/>
      <c r="X29" s="235"/>
    </row>
    <row r="30" spans="1:24" ht="18" customHeight="1" x14ac:dyDescent="0.25">
      <c r="A30" s="220"/>
      <c r="B30" s="210">
        <v>3</v>
      </c>
      <c r="C30" s="206">
        <v>2009</v>
      </c>
      <c r="D30" s="249">
        <v>83.3</v>
      </c>
      <c r="E30" s="254">
        <v>82.7</v>
      </c>
      <c r="F30" s="254">
        <v>82.1</v>
      </c>
      <c r="G30" s="254">
        <v>82.4</v>
      </c>
      <c r="H30" s="254">
        <v>84.4</v>
      </c>
      <c r="I30" s="254">
        <v>83.6</v>
      </c>
      <c r="J30" s="254">
        <v>83.7</v>
      </c>
      <c r="K30" s="254">
        <v>83.1</v>
      </c>
      <c r="L30" s="250">
        <v>83.8</v>
      </c>
      <c r="M30" s="223"/>
      <c r="N30" s="306">
        <v>94.5</v>
      </c>
      <c r="O30" s="307"/>
      <c r="P30" s="308"/>
      <c r="Q30" s="361">
        <v>61.6</v>
      </c>
      <c r="R30" s="309">
        <v>101.1</v>
      </c>
      <c r="S30" s="307"/>
      <c r="T30" s="310"/>
      <c r="U30" s="366">
        <v>57.8</v>
      </c>
      <c r="V30" s="367">
        <v>56.7</v>
      </c>
      <c r="W30" s="220"/>
      <c r="X30" s="235"/>
    </row>
    <row r="31" spans="1:24" ht="18" customHeight="1" x14ac:dyDescent="0.25">
      <c r="A31" s="220"/>
      <c r="B31" s="210">
        <v>4</v>
      </c>
      <c r="C31" s="206">
        <v>2009</v>
      </c>
      <c r="D31" s="249">
        <v>83.7</v>
      </c>
      <c r="E31" s="254">
        <v>83.2</v>
      </c>
      <c r="F31" s="254">
        <v>82.8</v>
      </c>
      <c r="G31" s="254">
        <v>82.9</v>
      </c>
      <c r="H31" s="254">
        <v>84.9</v>
      </c>
      <c r="I31" s="254">
        <v>83.7</v>
      </c>
      <c r="J31" s="254">
        <v>84.1</v>
      </c>
      <c r="K31" s="254">
        <v>83.6</v>
      </c>
      <c r="L31" s="250">
        <v>84.1</v>
      </c>
      <c r="M31" s="223"/>
      <c r="N31" s="306">
        <v>93.9</v>
      </c>
      <c r="O31" s="307"/>
      <c r="P31" s="308"/>
      <c r="Q31" s="361">
        <v>60.8</v>
      </c>
      <c r="R31" s="309">
        <v>101.1</v>
      </c>
      <c r="S31" s="307"/>
      <c r="T31" s="310"/>
      <c r="U31" s="366">
        <v>61.6</v>
      </c>
      <c r="V31" s="367">
        <v>60.5</v>
      </c>
      <c r="W31" s="220"/>
      <c r="X31" s="235"/>
    </row>
    <row r="32" spans="1:24" ht="18" customHeight="1" x14ac:dyDescent="0.25">
      <c r="A32" s="220"/>
      <c r="B32" s="210">
        <v>5</v>
      </c>
      <c r="C32" s="206">
        <v>2009</v>
      </c>
      <c r="D32" s="249">
        <v>84</v>
      </c>
      <c r="E32" s="254">
        <v>83.4</v>
      </c>
      <c r="F32" s="254">
        <v>82.9</v>
      </c>
      <c r="G32" s="254">
        <v>83.1</v>
      </c>
      <c r="H32" s="254">
        <v>85</v>
      </c>
      <c r="I32" s="254">
        <v>84</v>
      </c>
      <c r="J32" s="254">
        <v>84.4</v>
      </c>
      <c r="K32" s="254">
        <v>83.9</v>
      </c>
      <c r="L32" s="250">
        <v>84.4</v>
      </c>
      <c r="M32" s="223"/>
      <c r="N32" s="306">
        <v>92</v>
      </c>
      <c r="O32" s="307"/>
      <c r="P32" s="308"/>
      <c r="Q32" s="361">
        <v>61</v>
      </c>
      <c r="R32" s="309">
        <v>99.1</v>
      </c>
      <c r="S32" s="307"/>
      <c r="T32" s="310"/>
      <c r="U32" s="366">
        <v>62.4</v>
      </c>
      <c r="V32" s="367">
        <v>61.2</v>
      </c>
      <c r="W32" s="220"/>
      <c r="X32" s="235"/>
    </row>
    <row r="33" spans="1:24" ht="18" customHeight="1" x14ac:dyDescent="0.25">
      <c r="A33" s="220"/>
      <c r="B33" s="210">
        <v>6</v>
      </c>
      <c r="C33" s="206">
        <v>2009</v>
      </c>
      <c r="D33" s="249">
        <v>84.3</v>
      </c>
      <c r="E33" s="254">
        <v>83.7</v>
      </c>
      <c r="F33" s="254">
        <v>83.3</v>
      </c>
      <c r="G33" s="254">
        <v>83.4</v>
      </c>
      <c r="H33" s="254">
        <v>85.3</v>
      </c>
      <c r="I33" s="254">
        <v>84.1</v>
      </c>
      <c r="J33" s="254">
        <v>84.8</v>
      </c>
      <c r="K33" s="254">
        <v>83.9</v>
      </c>
      <c r="L33" s="250">
        <v>84.4</v>
      </c>
      <c r="M33" s="223"/>
      <c r="N33" s="306">
        <v>91.9</v>
      </c>
      <c r="O33" s="307"/>
      <c r="P33" s="308"/>
      <c r="Q33" s="361">
        <v>62.4</v>
      </c>
      <c r="R33" s="309">
        <v>99.1</v>
      </c>
      <c r="S33" s="307"/>
      <c r="T33" s="310"/>
      <c r="U33" s="366">
        <v>61.1</v>
      </c>
      <c r="V33" s="367">
        <v>60.2</v>
      </c>
      <c r="W33" s="220"/>
      <c r="X33" s="235"/>
    </row>
    <row r="34" spans="1:24" ht="18" customHeight="1" x14ac:dyDescent="0.25">
      <c r="A34" s="220"/>
      <c r="B34" s="210">
        <v>7</v>
      </c>
      <c r="C34" s="206">
        <v>2009</v>
      </c>
      <c r="D34" s="249">
        <v>85.3</v>
      </c>
      <c r="E34" s="254">
        <v>84.4</v>
      </c>
      <c r="F34" s="254">
        <v>84.2</v>
      </c>
      <c r="G34" s="254">
        <v>84.3</v>
      </c>
      <c r="H34" s="254">
        <v>85.9</v>
      </c>
      <c r="I34" s="254">
        <v>85</v>
      </c>
      <c r="J34" s="254">
        <v>85.8</v>
      </c>
      <c r="K34" s="254">
        <v>84.8</v>
      </c>
      <c r="L34" s="250">
        <v>84.8</v>
      </c>
      <c r="M34" s="223"/>
      <c r="N34" s="306">
        <v>93</v>
      </c>
      <c r="O34" s="307"/>
      <c r="P34" s="308"/>
      <c r="Q34" s="361">
        <v>64.7</v>
      </c>
      <c r="R34" s="309">
        <v>99.1</v>
      </c>
      <c r="S34" s="307"/>
      <c r="T34" s="310"/>
      <c r="U34" s="366">
        <v>64.900000000000006</v>
      </c>
      <c r="V34" s="367">
        <v>64</v>
      </c>
      <c r="W34" s="220"/>
      <c r="X34" s="235"/>
    </row>
    <row r="35" spans="1:24" ht="18" customHeight="1" x14ac:dyDescent="0.25">
      <c r="A35" s="220"/>
      <c r="B35" s="210">
        <v>8</v>
      </c>
      <c r="C35" s="206">
        <v>2009</v>
      </c>
      <c r="D35" s="249">
        <v>85.6</v>
      </c>
      <c r="E35" s="254">
        <v>84.6</v>
      </c>
      <c r="F35" s="254">
        <v>84.4</v>
      </c>
      <c r="G35" s="254">
        <v>84.5</v>
      </c>
      <c r="H35" s="254">
        <v>86</v>
      </c>
      <c r="I35" s="254">
        <v>85.3</v>
      </c>
      <c r="J35" s="254">
        <v>86.1</v>
      </c>
      <c r="K35" s="254">
        <v>85.1</v>
      </c>
      <c r="L35" s="250">
        <v>85.2</v>
      </c>
      <c r="M35" s="223"/>
      <c r="N35" s="306">
        <v>92.5</v>
      </c>
      <c r="O35" s="307"/>
      <c r="P35" s="308"/>
      <c r="Q35" s="361">
        <v>63.7</v>
      </c>
      <c r="R35" s="309">
        <v>100</v>
      </c>
      <c r="S35" s="307"/>
      <c r="T35" s="310"/>
      <c r="U35" s="366">
        <v>63</v>
      </c>
      <c r="V35" s="367">
        <v>62.1</v>
      </c>
      <c r="W35" s="220"/>
      <c r="X35" s="235"/>
    </row>
    <row r="36" spans="1:24" ht="18" customHeight="1" x14ac:dyDescent="0.25">
      <c r="A36" s="220"/>
      <c r="B36" s="210">
        <v>9</v>
      </c>
      <c r="C36" s="206">
        <v>2009</v>
      </c>
      <c r="D36" s="249">
        <v>86</v>
      </c>
      <c r="E36" s="254">
        <v>84.9</v>
      </c>
      <c r="F36" s="254">
        <v>84.7</v>
      </c>
      <c r="G36" s="254">
        <v>84.7</v>
      </c>
      <c r="H36" s="254">
        <v>86.2</v>
      </c>
      <c r="I36" s="254">
        <v>85.4</v>
      </c>
      <c r="J36" s="254">
        <v>86.3</v>
      </c>
      <c r="K36" s="254">
        <v>85.4</v>
      </c>
      <c r="L36" s="250">
        <v>85.2</v>
      </c>
      <c r="M36" s="223"/>
      <c r="N36" s="306">
        <v>92.3</v>
      </c>
      <c r="O36" s="307"/>
      <c r="P36" s="308"/>
      <c r="Q36" s="361">
        <v>66.2</v>
      </c>
      <c r="R36" s="309">
        <v>100</v>
      </c>
      <c r="S36" s="307"/>
      <c r="T36" s="310"/>
      <c r="U36" s="366">
        <v>66.2</v>
      </c>
      <c r="V36" s="367">
        <v>65.3</v>
      </c>
      <c r="W36" s="220"/>
      <c r="X36" s="235"/>
    </row>
    <row r="37" spans="1:24" ht="18" customHeight="1" x14ac:dyDescent="0.25">
      <c r="A37" s="220"/>
      <c r="B37" s="210">
        <v>10</v>
      </c>
      <c r="C37" s="206">
        <v>2009</v>
      </c>
      <c r="D37" s="249">
        <v>86.1</v>
      </c>
      <c r="E37" s="254">
        <v>85</v>
      </c>
      <c r="F37" s="254">
        <v>84.7</v>
      </c>
      <c r="G37" s="254">
        <v>84.6</v>
      </c>
      <c r="H37" s="254">
        <v>86.3</v>
      </c>
      <c r="I37" s="254">
        <v>85.3</v>
      </c>
      <c r="J37" s="254">
        <v>86.3</v>
      </c>
      <c r="K37" s="254">
        <v>85.5</v>
      </c>
      <c r="L37" s="250">
        <v>85.2</v>
      </c>
      <c r="M37" s="223"/>
      <c r="N37" s="306">
        <v>92.2</v>
      </c>
      <c r="O37" s="307"/>
      <c r="P37" s="308"/>
      <c r="Q37" s="361">
        <v>62.6</v>
      </c>
      <c r="R37" s="309">
        <v>100</v>
      </c>
      <c r="S37" s="307"/>
      <c r="T37" s="310"/>
      <c r="U37" s="366">
        <v>63.2</v>
      </c>
      <c r="V37" s="367">
        <v>62.3</v>
      </c>
      <c r="W37" s="220"/>
      <c r="X37" s="235"/>
    </row>
    <row r="38" spans="1:24" ht="18" customHeight="1" x14ac:dyDescent="0.25">
      <c r="A38" s="220"/>
      <c r="B38" s="210">
        <v>11</v>
      </c>
      <c r="C38" s="206">
        <v>2009</v>
      </c>
      <c r="D38" s="249">
        <v>86.1</v>
      </c>
      <c r="E38" s="254">
        <v>84.9</v>
      </c>
      <c r="F38" s="254">
        <v>84.7</v>
      </c>
      <c r="G38" s="254">
        <v>84.7</v>
      </c>
      <c r="H38" s="254">
        <v>86.2</v>
      </c>
      <c r="I38" s="254">
        <v>85.2</v>
      </c>
      <c r="J38" s="254">
        <v>86.3</v>
      </c>
      <c r="K38" s="254">
        <v>85.5</v>
      </c>
      <c r="L38" s="250">
        <v>85.5</v>
      </c>
      <c r="M38" s="223"/>
      <c r="N38" s="306">
        <v>92.3</v>
      </c>
      <c r="O38" s="307"/>
      <c r="P38" s="308"/>
      <c r="Q38" s="361">
        <v>63.7</v>
      </c>
      <c r="R38" s="309">
        <v>98.5</v>
      </c>
      <c r="S38" s="307"/>
      <c r="T38" s="310"/>
      <c r="U38" s="366">
        <v>64.099999999999994</v>
      </c>
      <c r="V38" s="367">
        <v>63.2</v>
      </c>
      <c r="W38" s="220"/>
      <c r="X38" s="235"/>
    </row>
    <row r="39" spans="1:24" ht="18" customHeight="1" x14ac:dyDescent="0.25">
      <c r="A39" s="220"/>
      <c r="B39" s="211">
        <v>12</v>
      </c>
      <c r="C39" s="208">
        <v>2009</v>
      </c>
      <c r="D39" s="257">
        <v>86.6</v>
      </c>
      <c r="E39" s="262">
        <v>85.1</v>
      </c>
      <c r="F39" s="262">
        <v>84.8</v>
      </c>
      <c r="G39" s="262">
        <v>84.9</v>
      </c>
      <c r="H39" s="262">
        <v>86.5</v>
      </c>
      <c r="I39" s="262">
        <v>85.4</v>
      </c>
      <c r="J39" s="262">
        <v>86.4</v>
      </c>
      <c r="K39" s="262">
        <v>85.5</v>
      </c>
      <c r="L39" s="258">
        <v>85.5</v>
      </c>
      <c r="M39" s="223"/>
      <c r="N39" s="312">
        <v>92.3</v>
      </c>
      <c r="O39" s="313"/>
      <c r="P39" s="314"/>
      <c r="Q39" s="362">
        <v>66.900000000000006</v>
      </c>
      <c r="R39" s="315">
        <v>98.5</v>
      </c>
      <c r="S39" s="313"/>
      <c r="T39" s="316"/>
      <c r="U39" s="368">
        <v>66.5</v>
      </c>
      <c r="V39" s="369">
        <v>65.599999999999994</v>
      </c>
      <c r="W39" s="220"/>
      <c r="X39" s="235"/>
    </row>
    <row r="40" spans="1:24" ht="18" customHeight="1" x14ac:dyDescent="0.25">
      <c r="A40" s="220"/>
      <c r="B40" s="209">
        <v>1</v>
      </c>
      <c r="C40" s="204">
        <v>2010</v>
      </c>
      <c r="D40" s="265">
        <v>86.8</v>
      </c>
      <c r="E40" s="270">
        <v>85.2</v>
      </c>
      <c r="F40" s="270">
        <v>84.7</v>
      </c>
      <c r="G40" s="270">
        <v>85.1</v>
      </c>
      <c r="H40" s="270">
        <v>86.8</v>
      </c>
      <c r="I40" s="270">
        <v>85.6</v>
      </c>
      <c r="J40" s="270">
        <v>86.7</v>
      </c>
      <c r="K40" s="270">
        <v>85.8</v>
      </c>
      <c r="L40" s="266">
        <v>85.7</v>
      </c>
      <c r="M40" s="223"/>
      <c r="N40" s="299">
        <v>93.5</v>
      </c>
      <c r="O40" s="300"/>
      <c r="P40" s="301"/>
      <c r="Q40" s="363">
        <v>65.400000000000006</v>
      </c>
      <c r="R40" s="303">
        <v>98.5</v>
      </c>
      <c r="S40" s="300"/>
      <c r="T40" s="304"/>
      <c r="U40" s="370">
        <v>65.2</v>
      </c>
      <c r="V40" s="371">
        <v>64.3</v>
      </c>
      <c r="W40" s="220"/>
      <c r="X40" s="235"/>
    </row>
    <row r="41" spans="1:24" ht="18" customHeight="1" x14ac:dyDescent="0.25">
      <c r="A41" s="220"/>
      <c r="B41" s="210">
        <v>2</v>
      </c>
      <c r="C41" s="206">
        <v>2010</v>
      </c>
      <c r="D41" s="249">
        <v>87.1</v>
      </c>
      <c r="E41" s="254">
        <v>85.6</v>
      </c>
      <c r="F41" s="254">
        <v>85.1</v>
      </c>
      <c r="G41" s="254">
        <v>85.7</v>
      </c>
      <c r="H41" s="254">
        <v>87.1</v>
      </c>
      <c r="I41" s="254">
        <v>86.3</v>
      </c>
      <c r="J41" s="254">
        <v>87.3</v>
      </c>
      <c r="K41" s="254">
        <v>86.3</v>
      </c>
      <c r="L41" s="250">
        <v>86.2</v>
      </c>
      <c r="M41" s="223"/>
      <c r="N41" s="306">
        <v>93.8</v>
      </c>
      <c r="O41" s="307"/>
      <c r="P41" s="308"/>
      <c r="Q41" s="361">
        <v>67.099999999999994</v>
      </c>
      <c r="R41" s="309">
        <v>98.5</v>
      </c>
      <c r="S41" s="307"/>
      <c r="T41" s="310"/>
      <c r="U41" s="366">
        <v>66.099999999999994</v>
      </c>
      <c r="V41" s="367">
        <v>65.2</v>
      </c>
      <c r="W41" s="220"/>
      <c r="X41" s="235"/>
    </row>
    <row r="42" spans="1:24" ht="18" customHeight="1" x14ac:dyDescent="0.25">
      <c r="A42" s="220"/>
      <c r="B42" s="210">
        <v>3</v>
      </c>
      <c r="C42" s="206">
        <v>2010</v>
      </c>
      <c r="D42" s="249">
        <v>88.1</v>
      </c>
      <c r="E42" s="254">
        <v>86.3</v>
      </c>
      <c r="F42" s="254">
        <v>85.7</v>
      </c>
      <c r="G42" s="254">
        <v>86.3</v>
      </c>
      <c r="H42" s="254">
        <v>87.7</v>
      </c>
      <c r="I42" s="254">
        <v>86.9</v>
      </c>
      <c r="J42" s="254">
        <v>88.1</v>
      </c>
      <c r="K42" s="254">
        <v>86.9</v>
      </c>
      <c r="L42" s="250">
        <v>87.1</v>
      </c>
      <c r="M42" s="223"/>
      <c r="N42" s="306">
        <v>93.8</v>
      </c>
      <c r="O42" s="307"/>
      <c r="P42" s="308"/>
      <c r="Q42" s="361">
        <v>68.2</v>
      </c>
      <c r="R42" s="309">
        <v>99</v>
      </c>
      <c r="S42" s="307"/>
      <c r="T42" s="310"/>
      <c r="U42" s="366">
        <v>66.5</v>
      </c>
      <c r="V42" s="367">
        <v>65.599999999999994</v>
      </c>
      <c r="W42" s="220"/>
      <c r="X42" s="235"/>
    </row>
    <row r="43" spans="1:24" ht="18" customHeight="1" x14ac:dyDescent="0.25">
      <c r="A43" s="220"/>
      <c r="B43" s="210">
        <v>4</v>
      </c>
      <c r="C43" s="206">
        <v>2010</v>
      </c>
      <c r="D43" s="249">
        <v>88.3</v>
      </c>
      <c r="E43" s="254">
        <v>86.5</v>
      </c>
      <c r="F43" s="254">
        <v>85.9</v>
      </c>
      <c r="G43" s="254">
        <v>86.6</v>
      </c>
      <c r="H43" s="254">
        <v>87.8</v>
      </c>
      <c r="I43" s="254">
        <v>87</v>
      </c>
      <c r="J43" s="254">
        <v>88.2</v>
      </c>
      <c r="K43" s="254">
        <v>87</v>
      </c>
      <c r="L43" s="250">
        <v>87</v>
      </c>
      <c r="M43" s="223"/>
      <c r="N43" s="306">
        <v>93.7</v>
      </c>
      <c r="O43" s="307"/>
      <c r="P43" s="308"/>
      <c r="Q43" s="361">
        <v>72.099999999999994</v>
      </c>
      <c r="R43" s="309">
        <v>99</v>
      </c>
      <c r="S43" s="307"/>
      <c r="T43" s="310"/>
      <c r="U43" s="366">
        <v>71.2</v>
      </c>
      <c r="V43" s="367">
        <v>70.400000000000006</v>
      </c>
      <c r="W43" s="220"/>
      <c r="X43" s="235"/>
    </row>
    <row r="44" spans="1:24" ht="18" customHeight="1" x14ac:dyDescent="0.25">
      <c r="A44" s="220"/>
      <c r="B44" s="210">
        <v>5</v>
      </c>
      <c r="C44" s="206">
        <v>2010</v>
      </c>
      <c r="D44" s="249">
        <v>88.4</v>
      </c>
      <c r="E44" s="254">
        <v>86.7</v>
      </c>
      <c r="F44" s="254">
        <v>86.2</v>
      </c>
      <c r="G44" s="254">
        <v>86.7</v>
      </c>
      <c r="H44" s="254">
        <v>88</v>
      </c>
      <c r="I44" s="254">
        <v>87.3</v>
      </c>
      <c r="J44" s="254">
        <v>88.3</v>
      </c>
      <c r="K44" s="254">
        <v>87.2</v>
      </c>
      <c r="L44" s="250">
        <v>87</v>
      </c>
      <c r="M44" s="223"/>
      <c r="N44" s="306">
        <v>94.8</v>
      </c>
      <c r="O44" s="307"/>
      <c r="P44" s="308"/>
      <c r="Q44" s="361">
        <v>74</v>
      </c>
      <c r="R44" s="309">
        <v>98.3</v>
      </c>
      <c r="S44" s="307"/>
      <c r="T44" s="310"/>
      <c r="U44" s="366">
        <v>73.900000000000006</v>
      </c>
      <c r="V44" s="367">
        <v>73</v>
      </c>
      <c r="W44" s="220"/>
      <c r="X44" s="235"/>
    </row>
    <row r="45" spans="1:24" ht="18" customHeight="1" x14ac:dyDescent="0.25">
      <c r="A45" s="220"/>
      <c r="B45" s="210">
        <v>6</v>
      </c>
      <c r="C45" s="206">
        <v>2010</v>
      </c>
      <c r="D45" s="249">
        <v>88.3</v>
      </c>
      <c r="E45" s="254">
        <v>86.8</v>
      </c>
      <c r="F45" s="254">
        <v>86.2</v>
      </c>
      <c r="G45" s="254">
        <v>86.7</v>
      </c>
      <c r="H45" s="254">
        <v>88</v>
      </c>
      <c r="I45" s="254">
        <v>87.2</v>
      </c>
      <c r="J45" s="254">
        <v>88.3</v>
      </c>
      <c r="K45" s="254">
        <v>87.1</v>
      </c>
      <c r="L45" s="250">
        <v>87</v>
      </c>
      <c r="M45" s="223"/>
      <c r="N45" s="306">
        <v>95.4</v>
      </c>
      <c r="O45" s="307"/>
      <c r="P45" s="308"/>
      <c r="Q45" s="361">
        <v>73</v>
      </c>
      <c r="R45" s="309">
        <v>98.2</v>
      </c>
      <c r="S45" s="307"/>
      <c r="T45" s="310"/>
      <c r="U45" s="366">
        <v>72.5</v>
      </c>
      <c r="V45" s="367">
        <v>71.7</v>
      </c>
      <c r="W45" s="220"/>
      <c r="X45" s="235"/>
    </row>
    <row r="46" spans="1:24" ht="18" customHeight="1" x14ac:dyDescent="0.25">
      <c r="A46" s="220"/>
      <c r="B46" s="210">
        <v>7</v>
      </c>
      <c r="C46" s="206">
        <v>2010</v>
      </c>
      <c r="D46" s="249">
        <v>88.7</v>
      </c>
      <c r="E46" s="254">
        <v>87.2</v>
      </c>
      <c r="F46" s="254">
        <v>86.8</v>
      </c>
      <c r="G46" s="254">
        <v>87.2</v>
      </c>
      <c r="H46" s="254">
        <v>88.4</v>
      </c>
      <c r="I46" s="254">
        <v>87.6</v>
      </c>
      <c r="J46" s="254">
        <v>89</v>
      </c>
      <c r="K46" s="254">
        <v>87.6</v>
      </c>
      <c r="L46" s="250">
        <v>87.7</v>
      </c>
      <c r="M46" s="223"/>
      <c r="N46" s="306">
        <v>94.2</v>
      </c>
      <c r="O46" s="307"/>
      <c r="P46" s="308"/>
      <c r="Q46" s="361">
        <v>71.900000000000006</v>
      </c>
      <c r="R46" s="309">
        <v>98.1</v>
      </c>
      <c r="S46" s="307"/>
      <c r="T46" s="310"/>
      <c r="U46" s="366">
        <v>71.099999999999994</v>
      </c>
      <c r="V46" s="367">
        <v>70.3</v>
      </c>
      <c r="W46" s="220"/>
      <c r="X46" s="235"/>
    </row>
    <row r="47" spans="1:24" ht="18" customHeight="1" x14ac:dyDescent="0.25">
      <c r="A47" s="220"/>
      <c r="B47" s="210">
        <v>8</v>
      </c>
      <c r="C47" s="206">
        <v>2010</v>
      </c>
      <c r="D47" s="249">
        <v>88.8</v>
      </c>
      <c r="E47" s="254">
        <v>87.7</v>
      </c>
      <c r="F47" s="254">
        <v>86.8</v>
      </c>
      <c r="G47" s="254">
        <v>87.5</v>
      </c>
      <c r="H47" s="254">
        <v>88.4</v>
      </c>
      <c r="I47" s="254">
        <v>87.7</v>
      </c>
      <c r="J47" s="254">
        <v>89</v>
      </c>
      <c r="K47" s="254">
        <v>87.8</v>
      </c>
      <c r="L47" s="250">
        <v>87.8</v>
      </c>
      <c r="M47" s="223"/>
      <c r="N47" s="306">
        <v>93.6</v>
      </c>
      <c r="O47" s="307"/>
      <c r="P47" s="308"/>
      <c r="Q47" s="361">
        <v>71.2</v>
      </c>
      <c r="R47" s="309">
        <v>97.8</v>
      </c>
      <c r="S47" s="307"/>
      <c r="T47" s="310"/>
      <c r="U47" s="366">
        <v>69.8</v>
      </c>
      <c r="V47" s="367">
        <v>69</v>
      </c>
      <c r="W47" s="220"/>
      <c r="X47" s="235"/>
    </row>
    <row r="48" spans="1:24" ht="18" customHeight="1" x14ac:dyDescent="0.25">
      <c r="A48" s="220"/>
      <c r="B48" s="210">
        <v>9</v>
      </c>
      <c r="C48" s="206">
        <v>2010</v>
      </c>
      <c r="D48" s="249">
        <v>88.9</v>
      </c>
      <c r="E48" s="254">
        <v>88</v>
      </c>
      <c r="F48" s="254">
        <v>87.1</v>
      </c>
      <c r="G48" s="254">
        <v>87.9</v>
      </c>
      <c r="H48" s="254">
        <v>88.4</v>
      </c>
      <c r="I48" s="254">
        <v>87.8</v>
      </c>
      <c r="J48" s="254">
        <v>89</v>
      </c>
      <c r="K48" s="254">
        <v>88</v>
      </c>
      <c r="L48" s="250">
        <v>87.7</v>
      </c>
      <c r="M48" s="223"/>
      <c r="N48" s="306">
        <v>93.6</v>
      </c>
      <c r="O48" s="307"/>
      <c r="P48" s="308"/>
      <c r="Q48" s="361">
        <v>70.599999999999994</v>
      </c>
      <c r="R48" s="309">
        <v>97.8</v>
      </c>
      <c r="S48" s="307"/>
      <c r="T48" s="310"/>
      <c r="U48" s="366">
        <v>69.8</v>
      </c>
      <c r="V48" s="367">
        <v>69</v>
      </c>
      <c r="W48" s="220"/>
      <c r="X48" s="235"/>
    </row>
    <row r="49" spans="1:24" ht="18" customHeight="1" x14ac:dyDescent="0.25">
      <c r="A49" s="220"/>
      <c r="B49" s="210">
        <v>10</v>
      </c>
      <c r="C49" s="206">
        <v>2010</v>
      </c>
      <c r="D49" s="249">
        <v>89.1</v>
      </c>
      <c r="E49" s="254">
        <v>88.1</v>
      </c>
      <c r="F49" s="254">
        <v>87.2</v>
      </c>
      <c r="G49" s="254">
        <v>88.2</v>
      </c>
      <c r="H49" s="254">
        <v>88.5</v>
      </c>
      <c r="I49" s="254">
        <v>87.8</v>
      </c>
      <c r="J49" s="254">
        <v>89.2</v>
      </c>
      <c r="K49" s="254">
        <v>88.3</v>
      </c>
      <c r="L49" s="250">
        <v>88.2</v>
      </c>
      <c r="M49" s="223"/>
      <c r="N49" s="306">
        <v>94.1</v>
      </c>
      <c r="O49" s="307">
        <v>86.1</v>
      </c>
      <c r="P49" s="308">
        <v>82.2</v>
      </c>
      <c r="Q49" s="361">
        <v>70.8</v>
      </c>
      <c r="R49" s="309">
        <v>97.9</v>
      </c>
      <c r="S49" s="307">
        <v>93.4</v>
      </c>
      <c r="T49" s="310">
        <v>95.1</v>
      </c>
      <c r="U49" s="366">
        <v>69.599999999999994</v>
      </c>
      <c r="V49" s="367">
        <v>68.8</v>
      </c>
      <c r="W49" s="220"/>
      <c r="X49" s="235"/>
    </row>
    <row r="50" spans="1:24" ht="18" customHeight="1" x14ac:dyDescent="0.25">
      <c r="A50" s="220"/>
      <c r="B50" s="210">
        <v>11</v>
      </c>
      <c r="C50" s="206">
        <v>2010</v>
      </c>
      <c r="D50" s="249">
        <v>89.2</v>
      </c>
      <c r="E50" s="254">
        <v>88.1</v>
      </c>
      <c r="F50" s="254">
        <v>87.2</v>
      </c>
      <c r="G50" s="254">
        <v>88.2</v>
      </c>
      <c r="H50" s="254">
        <v>88.7</v>
      </c>
      <c r="I50" s="254">
        <v>88.1</v>
      </c>
      <c r="J50" s="254">
        <v>89.4</v>
      </c>
      <c r="K50" s="254">
        <v>88.2</v>
      </c>
      <c r="L50" s="250">
        <v>88</v>
      </c>
      <c r="M50" s="223"/>
      <c r="N50" s="306">
        <v>93.7</v>
      </c>
      <c r="O50" s="307">
        <v>86.1</v>
      </c>
      <c r="P50" s="308">
        <v>82.2</v>
      </c>
      <c r="Q50" s="361">
        <v>72.7</v>
      </c>
      <c r="R50" s="309">
        <v>98.2</v>
      </c>
      <c r="S50" s="307">
        <v>93.5</v>
      </c>
      <c r="T50" s="310">
        <v>95.4</v>
      </c>
      <c r="U50" s="366">
        <v>71.900000000000006</v>
      </c>
      <c r="V50" s="367">
        <v>71.099999999999994</v>
      </c>
      <c r="W50" s="220"/>
      <c r="X50" s="235"/>
    </row>
    <row r="51" spans="1:24" ht="18" customHeight="1" x14ac:dyDescent="0.25">
      <c r="A51" s="220"/>
      <c r="B51" s="211">
        <v>12</v>
      </c>
      <c r="C51" s="208">
        <v>2010</v>
      </c>
      <c r="D51" s="257">
        <v>89.4</v>
      </c>
      <c r="E51" s="262">
        <v>88.2</v>
      </c>
      <c r="F51" s="262">
        <v>87.1</v>
      </c>
      <c r="G51" s="262">
        <v>88.3</v>
      </c>
      <c r="H51" s="262">
        <v>88.8</v>
      </c>
      <c r="I51" s="262">
        <v>88.1</v>
      </c>
      <c r="J51" s="262">
        <v>89.6</v>
      </c>
      <c r="K51" s="262">
        <v>88.3</v>
      </c>
      <c r="L51" s="258">
        <v>88.5</v>
      </c>
      <c r="M51" s="223"/>
      <c r="N51" s="312">
        <v>93.8</v>
      </c>
      <c r="O51" s="313">
        <v>86</v>
      </c>
      <c r="P51" s="314">
        <v>82.7</v>
      </c>
      <c r="Q51" s="362">
        <v>75.2</v>
      </c>
      <c r="R51" s="315">
        <v>97.3</v>
      </c>
      <c r="S51" s="313">
        <v>91.8</v>
      </c>
      <c r="T51" s="316">
        <v>95</v>
      </c>
      <c r="U51" s="368">
        <v>71.900000000000006</v>
      </c>
      <c r="V51" s="369">
        <v>71.099999999999994</v>
      </c>
      <c r="W51" s="220"/>
      <c r="X51" s="235"/>
    </row>
    <row r="52" spans="1:24" ht="18" customHeight="1" x14ac:dyDescent="0.25">
      <c r="A52" s="220"/>
      <c r="B52" s="209">
        <v>1</v>
      </c>
      <c r="C52" s="204">
        <v>2011</v>
      </c>
      <c r="D52" s="265">
        <v>89.8</v>
      </c>
      <c r="E52" s="270">
        <v>88.9</v>
      </c>
      <c r="F52" s="270">
        <v>87.9</v>
      </c>
      <c r="G52" s="270">
        <v>89</v>
      </c>
      <c r="H52" s="270">
        <v>89.3</v>
      </c>
      <c r="I52" s="270">
        <v>88.7</v>
      </c>
      <c r="J52" s="270">
        <v>89.9</v>
      </c>
      <c r="K52" s="270">
        <v>88.8</v>
      </c>
      <c r="L52" s="266">
        <v>88.8</v>
      </c>
      <c r="M52" s="223"/>
      <c r="N52" s="299">
        <v>94.8</v>
      </c>
      <c r="O52" s="300">
        <v>86.6</v>
      </c>
      <c r="P52" s="301">
        <v>82.8</v>
      </c>
      <c r="Q52" s="363">
        <v>78</v>
      </c>
      <c r="R52" s="303">
        <v>96.5</v>
      </c>
      <c r="S52" s="300">
        <v>91.9</v>
      </c>
      <c r="T52" s="304">
        <v>94.9</v>
      </c>
      <c r="U52" s="370">
        <v>74.099999999999994</v>
      </c>
      <c r="V52" s="371">
        <v>73.3</v>
      </c>
      <c r="W52" s="220"/>
      <c r="X52" s="235"/>
    </row>
    <row r="53" spans="1:24" ht="18" customHeight="1" x14ac:dyDescent="0.25">
      <c r="A53" s="220"/>
      <c r="B53" s="210">
        <v>2</v>
      </c>
      <c r="C53" s="206">
        <v>2011</v>
      </c>
      <c r="D53" s="249">
        <v>90.4</v>
      </c>
      <c r="E53" s="254">
        <v>89.4</v>
      </c>
      <c r="F53" s="254">
        <v>88.3</v>
      </c>
      <c r="G53" s="254">
        <v>89.5</v>
      </c>
      <c r="H53" s="254">
        <v>89.9</v>
      </c>
      <c r="I53" s="254">
        <v>89.4</v>
      </c>
      <c r="J53" s="254">
        <v>90.5</v>
      </c>
      <c r="K53" s="254">
        <v>89.5</v>
      </c>
      <c r="L53" s="250">
        <v>88.7</v>
      </c>
      <c r="M53" s="223"/>
      <c r="N53" s="306">
        <v>95</v>
      </c>
      <c r="O53" s="307">
        <v>89.2</v>
      </c>
      <c r="P53" s="308">
        <v>84.5</v>
      </c>
      <c r="Q53" s="361">
        <v>85.3</v>
      </c>
      <c r="R53" s="309">
        <v>97.7</v>
      </c>
      <c r="S53" s="307">
        <v>92.3</v>
      </c>
      <c r="T53" s="310">
        <v>95.6</v>
      </c>
      <c r="U53" s="366">
        <v>77</v>
      </c>
      <c r="V53" s="367">
        <v>76.2</v>
      </c>
      <c r="W53" s="220"/>
      <c r="X53" s="235"/>
    </row>
    <row r="54" spans="1:24" ht="18" customHeight="1" x14ac:dyDescent="0.25">
      <c r="A54" s="220"/>
      <c r="B54" s="210">
        <v>3</v>
      </c>
      <c r="C54" s="206">
        <v>2011</v>
      </c>
      <c r="D54" s="249">
        <v>91.6</v>
      </c>
      <c r="E54" s="254">
        <v>90.4</v>
      </c>
      <c r="F54" s="254">
        <v>89.5</v>
      </c>
      <c r="G54" s="254">
        <v>90.6</v>
      </c>
      <c r="H54" s="254">
        <v>90.7</v>
      </c>
      <c r="I54" s="254">
        <v>90.4</v>
      </c>
      <c r="J54" s="254">
        <v>91.6</v>
      </c>
      <c r="K54" s="254">
        <v>90.6</v>
      </c>
      <c r="L54" s="250">
        <v>90.4</v>
      </c>
      <c r="M54" s="223"/>
      <c r="N54" s="306">
        <v>95.7</v>
      </c>
      <c r="O54" s="307">
        <v>90.5</v>
      </c>
      <c r="P54" s="308">
        <v>87.9</v>
      </c>
      <c r="Q54" s="361">
        <v>90.9</v>
      </c>
      <c r="R54" s="309">
        <v>98.1</v>
      </c>
      <c r="S54" s="307">
        <v>92.9</v>
      </c>
      <c r="T54" s="310">
        <v>96</v>
      </c>
      <c r="U54" s="366">
        <v>83</v>
      </c>
      <c r="V54" s="367">
        <v>82.3</v>
      </c>
      <c r="W54" s="220"/>
      <c r="X54" s="235"/>
    </row>
    <row r="55" spans="1:24" ht="18" customHeight="1" x14ac:dyDescent="0.25">
      <c r="A55" s="220"/>
      <c r="B55" s="210">
        <v>4</v>
      </c>
      <c r="C55" s="206">
        <v>2011</v>
      </c>
      <c r="D55" s="249">
        <v>91.9</v>
      </c>
      <c r="E55" s="254">
        <v>90.7</v>
      </c>
      <c r="F55" s="254">
        <v>90</v>
      </c>
      <c r="G55" s="254">
        <v>91.1</v>
      </c>
      <c r="H55" s="254">
        <v>91</v>
      </c>
      <c r="I55" s="254">
        <v>90.7</v>
      </c>
      <c r="J55" s="254">
        <v>91.7</v>
      </c>
      <c r="K55" s="254">
        <v>90.9</v>
      </c>
      <c r="L55" s="250">
        <v>90.8</v>
      </c>
      <c r="M55" s="223"/>
      <c r="N55" s="306">
        <v>95.1</v>
      </c>
      <c r="O55" s="307">
        <v>90.5</v>
      </c>
      <c r="P55" s="308">
        <v>90.9</v>
      </c>
      <c r="Q55" s="361">
        <v>96.4</v>
      </c>
      <c r="R55" s="309">
        <v>98.2</v>
      </c>
      <c r="S55" s="307">
        <v>92.9</v>
      </c>
      <c r="T55" s="310">
        <v>96.3</v>
      </c>
      <c r="U55" s="366">
        <v>89.7</v>
      </c>
      <c r="V55" s="367">
        <v>88.4</v>
      </c>
      <c r="W55" s="220"/>
      <c r="X55" s="235"/>
    </row>
    <row r="56" spans="1:24" ht="18" customHeight="1" x14ac:dyDescent="0.25">
      <c r="A56" s="220"/>
      <c r="B56" s="210">
        <v>5</v>
      </c>
      <c r="C56" s="206">
        <v>2011</v>
      </c>
      <c r="D56" s="249">
        <v>92.3</v>
      </c>
      <c r="E56" s="254">
        <v>91.2</v>
      </c>
      <c r="F56" s="254">
        <v>90.3</v>
      </c>
      <c r="G56" s="254">
        <v>91.5</v>
      </c>
      <c r="H56" s="254">
        <v>91.4</v>
      </c>
      <c r="I56" s="254">
        <v>91.1</v>
      </c>
      <c r="J56" s="254">
        <v>92.3</v>
      </c>
      <c r="K56" s="254">
        <v>91.4</v>
      </c>
      <c r="L56" s="250">
        <v>91.4</v>
      </c>
      <c r="M56" s="223"/>
      <c r="N56" s="306">
        <v>94.9</v>
      </c>
      <c r="O56" s="307">
        <v>90.4</v>
      </c>
      <c r="P56" s="308">
        <v>91.3</v>
      </c>
      <c r="Q56" s="361">
        <v>95.4</v>
      </c>
      <c r="R56" s="309">
        <v>98.2</v>
      </c>
      <c r="S56" s="307">
        <v>93.6</v>
      </c>
      <c r="T56" s="310">
        <v>97</v>
      </c>
      <c r="U56" s="366">
        <v>91.2</v>
      </c>
      <c r="V56" s="367">
        <v>89.9</v>
      </c>
      <c r="W56" s="220"/>
      <c r="X56" s="235"/>
    </row>
    <row r="57" spans="1:24" ht="18" customHeight="1" x14ac:dyDescent="0.25">
      <c r="A57" s="220"/>
      <c r="B57" s="210">
        <v>6</v>
      </c>
      <c r="C57" s="206">
        <v>2011</v>
      </c>
      <c r="D57" s="249">
        <v>92.7</v>
      </c>
      <c r="E57" s="254">
        <v>92.1</v>
      </c>
      <c r="F57" s="254">
        <v>90.6</v>
      </c>
      <c r="G57" s="254">
        <v>91.7</v>
      </c>
      <c r="H57" s="254">
        <v>91.9</v>
      </c>
      <c r="I57" s="254">
        <v>91.8</v>
      </c>
      <c r="J57" s="254">
        <v>92.7</v>
      </c>
      <c r="K57" s="254">
        <v>91.6</v>
      </c>
      <c r="L57" s="250">
        <v>92</v>
      </c>
      <c r="M57" s="223"/>
      <c r="N57" s="306">
        <v>95.1</v>
      </c>
      <c r="O57" s="307">
        <v>91.8</v>
      </c>
      <c r="P57" s="308">
        <v>91.4</v>
      </c>
      <c r="Q57" s="361">
        <v>92.6</v>
      </c>
      <c r="R57" s="309">
        <v>98.9</v>
      </c>
      <c r="S57" s="307">
        <v>93.6</v>
      </c>
      <c r="T57" s="310">
        <v>97.4</v>
      </c>
      <c r="U57" s="366">
        <v>87.6</v>
      </c>
      <c r="V57" s="367">
        <v>86.3</v>
      </c>
      <c r="W57" s="220"/>
      <c r="X57" s="235"/>
    </row>
    <row r="58" spans="1:24" ht="18" customHeight="1" x14ac:dyDescent="0.25">
      <c r="A58" s="220"/>
      <c r="B58" s="210">
        <v>7</v>
      </c>
      <c r="C58" s="206">
        <v>2011</v>
      </c>
      <c r="D58" s="249">
        <v>93.3</v>
      </c>
      <c r="E58" s="254">
        <v>92.9</v>
      </c>
      <c r="F58" s="254">
        <v>91.8</v>
      </c>
      <c r="G58" s="254">
        <v>92.8</v>
      </c>
      <c r="H58" s="254">
        <v>92.6</v>
      </c>
      <c r="I58" s="254">
        <v>92.5</v>
      </c>
      <c r="J58" s="254">
        <v>93.5</v>
      </c>
      <c r="K58" s="254">
        <v>92.5</v>
      </c>
      <c r="L58" s="250">
        <v>92.2</v>
      </c>
      <c r="M58" s="223"/>
      <c r="N58" s="306">
        <v>96.4</v>
      </c>
      <c r="O58" s="307">
        <v>92.6</v>
      </c>
      <c r="P58" s="308">
        <v>92</v>
      </c>
      <c r="Q58" s="361">
        <v>92</v>
      </c>
      <c r="R58" s="309">
        <v>99.1</v>
      </c>
      <c r="S58" s="307">
        <v>95.7</v>
      </c>
      <c r="T58" s="310">
        <v>97.3</v>
      </c>
      <c r="U58" s="366">
        <v>86.5</v>
      </c>
      <c r="V58" s="367">
        <v>85.2</v>
      </c>
      <c r="W58" s="220"/>
      <c r="X58" s="235"/>
    </row>
    <row r="59" spans="1:24" ht="18" customHeight="1" x14ac:dyDescent="0.25">
      <c r="A59" s="220"/>
      <c r="B59" s="210">
        <v>8</v>
      </c>
      <c r="C59" s="206">
        <v>2011</v>
      </c>
      <c r="D59" s="249">
        <v>93.5</v>
      </c>
      <c r="E59" s="254">
        <v>93.1</v>
      </c>
      <c r="F59" s="254">
        <v>92.5</v>
      </c>
      <c r="G59" s="254">
        <v>92.9</v>
      </c>
      <c r="H59" s="254">
        <v>92.9</v>
      </c>
      <c r="I59" s="254">
        <v>92.8</v>
      </c>
      <c r="J59" s="254">
        <v>93.7</v>
      </c>
      <c r="K59" s="254">
        <v>92.5</v>
      </c>
      <c r="L59" s="250">
        <v>92.3</v>
      </c>
      <c r="M59" s="223"/>
      <c r="N59" s="306">
        <v>96.7</v>
      </c>
      <c r="O59" s="307">
        <v>93</v>
      </c>
      <c r="P59" s="308">
        <v>92.2</v>
      </c>
      <c r="Q59" s="361">
        <v>91.8</v>
      </c>
      <c r="R59" s="309">
        <v>99.2</v>
      </c>
      <c r="S59" s="307">
        <v>97.5</v>
      </c>
      <c r="T59" s="310">
        <v>97.5</v>
      </c>
      <c r="U59" s="366">
        <v>88</v>
      </c>
      <c r="V59" s="367">
        <v>86.6</v>
      </c>
      <c r="W59" s="220"/>
      <c r="X59" s="235"/>
    </row>
    <row r="60" spans="1:24" ht="18" customHeight="1" x14ac:dyDescent="0.25">
      <c r="A60" s="220"/>
      <c r="B60" s="210">
        <v>9</v>
      </c>
      <c r="C60" s="206">
        <v>2011</v>
      </c>
      <c r="D60" s="249">
        <v>94</v>
      </c>
      <c r="E60" s="254">
        <v>93.7</v>
      </c>
      <c r="F60" s="254">
        <v>93.1</v>
      </c>
      <c r="G60" s="254">
        <v>93.4</v>
      </c>
      <c r="H60" s="254">
        <v>93.1</v>
      </c>
      <c r="I60" s="254">
        <v>92.9</v>
      </c>
      <c r="J60" s="254">
        <v>93.9</v>
      </c>
      <c r="K60" s="254">
        <v>92.8</v>
      </c>
      <c r="L60" s="250">
        <v>92.8</v>
      </c>
      <c r="M60" s="223"/>
      <c r="N60" s="306">
        <v>96.9</v>
      </c>
      <c r="O60" s="307">
        <v>94.3</v>
      </c>
      <c r="P60" s="308">
        <v>91.6</v>
      </c>
      <c r="Q60" s="361">
        <v>91.8</v>
      </c>
      <c r="R60" s="309">
        <v>99.1</v>
      </c>
      <c r="S60" s="307">
        <v>97.4</v>
      </c>
      <c r="T60" s="310">
        <v>97.5</v>
      </c>
      <c r="U60" s="366">
        <v>88</v>
      </c>
      <c r="V60" s="367">
        <v>86.6</v>
      </c>
      <c r="W60" s="220"/>
      <c r="X60" s="235"/>
    </row>
    <row r="61" spans="1:24" ht="18" customHeight="1" x14ac:dyDescent="0.25">
      <c r="A61" s="220"/>
      <c r="B61" s="210">
        <v>10</v>
      </c>
      <c r="C61" s="206">
        <v>2011</v>
      </c>
      <c r="D61" s="249">
        <v>94.4</v>
      </c>
      <c r="E61" s="254">
        <v>94.3</v>
      </c>
      <c r="F61" s="254">
        <v>93.8</v>
      </c>
      <c r="G61" s="254">
        <v>94</v>
      </c>
      <c r="H61" s="254">
        <v>93.8</v>
      </c>
      <c r="I61" s="254">
        <v>93.6</v>
      </c>
      <c r="J61" s="254">
        <v>94.4</v>
      </c>
      <c r="K61" s="254">
        <v>93.6</v>
      </c>
      <c r="L61" s="250">
        <v>93.5</v>
      </c>
      <c r="M61" s="223"/>
      <c r="N61" s="306">
        <v>97.5</v>
      </c>
      <c r="O61" s="307">
        <v>95.8</v>
      </c>
      <c r="P61" s="308">
        <v>92</v>
      </c>
      <c r="Q61" s="361">
        <v>95.4</v>
      </c>
      <c r="R61" s="309">
        <v>98.3</v>
      </c>
      <c r="S61" s="307">
        <v>97.1</v>
      </c>
      <c r="T61" s="310">
        <v>97.3</v>
      </c>
      <c r="U61" s="366">
        <v>91.3</v>
      </c>
      <c r="V61" s="367">
        <v>90</v>
      </c>
      <c r="W61" s="220"/>
      <c r="X61" s="235"/>
    </row>
    <row r="62" spans="1:24" ht="18" customHeight="1" x14ac:dyDescent="0.25">
      <c r="A62" s="220"/>
      <c r="B62" s="210">
        <v>11</v>
      </c>
      <c r="C62" s="206">
        <v>2011</v>
      </c>
      <c r="D62" s="249">
        <v>94.6</v>
      </c>
      <c r="E62" s="254">
        <v>94.6</v>
      </c>
      <c r="F62" s="254">
        <v>94.2</v>
      </c>
      <c r="G62" s="254">
        <v>94.3</v>
      </c>
      <c r="H62" s="254">
        <v>94.1</v>
      </c>
      <c r="I62" s="254">
        <v>93.7</v>
      </c>
      <c r="J62" s="254">
        <v>94.6</v>
      </c>
      <c r="K62" s="254">
        <v>93.8</v>
      </c>
      <c r="L62" s="250">
        <v>93.8</v>
      </c>
      <c r="M62" s="223"/>
      <c r="N62" s="306">
        <v>98.2</v>
      </c>
      <c r="O62" s="307">
        <v>99</v>
      </c>
      <c r="P62" s="308">
        <v>94.3</v>
      </c>
      <c r="Q62" s="361">
        <v>100.4</v>
      </c>
      <c r="R62" s="309">
        <v>98.3</v>
      </c>
      <c r="S62" s="307">
        <v>97.2</v>
      </c>
      <c r="T62" s="310">
        <v>97.5</v>
      </c>
      <c r="U62" s="366">
        <v>94.7</v>
      </c>
      <c r="V62" s="367">
        <v>93.4</v>
      </c>
      <c r="W62" s="220"/>
      <c r="X62" s="235"/>
    </row>
    <row r="63" spans="1:24" ht="18" customHeight="1" x14ac:dyDescent="0.25">
      <c r="A63" s="220"/>
      <c r="B63" s="211">
        <v>12</v>
      </c>
      <c r="C63" s="208">
        <v>2011</v>
      </c>
      <c r="D63" s="257">
        <v>94.7</v>
      </c>
      <c r="E63" s="262">
        <v>94.9</v>
      </c>
      <c r="F63" s="262">
        <v>93.9</v>
      </c>
      <c r="G63" s="262">
        <v>94.6</v>
      </c>
      <c r="H63" s="262">
        <v>94.7</v>
      </c>
      <c r="I63" s="262">
        <v>94</v>
      </c>
      <c r="J63" s="262">
        <v>94.8</v>
      </c>
      <c r="K63" s="262">
        <v>94.2</v>
      </c>
      <c r="L63" s="258">
        <v>94.2</v>
      </c>
      <c r="M63" s="223"/>
      <c r="N63" s="312">
        <v>98.4</v>
      </c>
      <c r="O63" s="313">
        <v>99.1</v>
      </c>
      <c r="P63" s="314">
        <v>96.6</v>
      </c>
      <c r="Q63" s="362">
        <v>102</v>
      </c>
      <c r="R63" s="315">
        <v>98.7</v>
      </c>
      <c r="S63" s="313">
        <v>97.3</v>
      </c>
      <c r="T63" s="316">
        <v>97.9</v>
      </c>
      <c r="U63" s="368">
        <v>97.7</v>
      </c>
      <c r="V63" s="369">
        <v>97.9</v>
      </c>
      <c r="W63" s="220"/>
      <c r="X63" s="235"/>
    </row>
    <row r="64" spans="1:24" ht="18" customHeight="1" x14ac:dyDescent="0.25">
      <c r="A64" s="220"/>
      <c r="B64" s="209">
        <v>1</v>
      </c>
      <c r="C64" s="204">
        <v>2012</v>
      </c>
      <c r="D64" s="265">
        <v>95.1</v>
      </c>
      <c r="E64" s="270">
        <v>95.4</v>
      </c>
      <c r="F64" s="270">
        <v>94.9</v>
      </c>
      <c r="G64" s="270">
        <v>95.2</v>
      </c>
      <c r="H64" s="270">
        <v>95</v>
      </c>
      <c r="I64" s="270">
        <v>94.6</v>
      </c>
      <c r="J64" s="270">
        <v>95.3</v>
      </c>
      <c r="K64" s="270">
        <v>94.8</v>
      </c>
      <c r="L64" s="266">
        <v>94.9</v>
      </c>
      <c r="M64" s="223"/>
      <c r="N64" s="299">
        <v>98.8</v>
      </c>
      <c r="O64" s="300">
        <v>99.6</v>
      </c>
      <c r="P64" s="301">
        <v>96.9</v>
      </c>
      <c r="Q64" s="363">
        <v>99.5</v>
      </c>
      <c r="R64" s="303">
        <v>98.8</v>
      </c>
      <c r="S64" s="300">
        <v>97.3</v>
      </c>
      <c r="T64" s="304">
        <v>97.8</v>
      </c>
      <c r="U64" s="370">
        <v>97.2</v>
      </c>
      <c r="V64" s="371">
        <v>95.9</v>
      </c>
      <c r="W64" s="220"/>
      <c r="X64" s="235"/>
    </row>
    <row r="65" spans="1:24" ht="18" customHeight="1" x14ac:dyDescent="0.25">
      <c r="A65" s="220"/>
      <c r="B65" s="205">
        <v>2</v>
      </c>
      <c r="C65" s="206">
        <v>2012</v>
      </c>
      <c r="D65" s="249">
        <v>95.7</v>
      </c>
      <c r="E65" s="254">
        <v>95.7</v>
      </c>
      <c r="F65" s="254">
        <v>95.2</v>
      </c>
      <c r="G65" s="254">
        <v>95.6</v>
      </c>
      <c r="H65" s="254">
        <v>95.5</v>
      </c>
      <c r="I65" s="254">
        <v>95.1</v>
      </c>
      <c r="J65" s="254">
        <v>95.9</v>
      </c>
      <c r="K65" s="254">
        <v>95.5</v>
      </c>
      <c r="L65" s="250">
        <v>95.3</v>
      </c>
      <c r="M65" s="223"/>
      <c r="N65" s="306">
        <v>99.7</v>
      </c>
      <c r="O65" s="307">
        <v>100.5</v>
      </c>
      <c r="P65" s="308">
        <v>98.8</v>
      </c>
      <c r="Q65" s="361">
        <v>99.4</v>
      </c>
      <c r="R65" s="309">
        <v>99.2</v>
      </c>
      <c r="S65" s="307">
        <v>97.8</v>
      </c>
      <c r="T65" s="310">
        <v>98</v>
      </c>
      <c r="U65" s="366">
        <v>97.2</v>
      </c>
      <c r="V65" s="367">
        <v>95.8</v>
      </c>
      <c r="W65" s="220"/>
      <c r="X65" s="235"/>
    </row>
    <row r="66" spans="1:24" ht="18" customHeight="1" x14ac:dyDescent="0.25">
      <c r="A66" s="220"/>
      <c r="B66" s="205">
        <v>3</v>
      </c>
      <c r="C66" s="206">
        <v>2012</v>
      </c>
      <c r="D66" s="249">
        <v>96.7</v>
      </c>
      <c r="E66" s="254">
        <v>96.6</v>
      </c>
      <c r="F66" s="254">
        <v>96.3</v>
      </c>
      <c r="G66" s="254">
        <v>96.3</v>
      </c>
      <c r="H66" s="254">
        <v>96.7</v>
      </c>
      <c r="I66" s="254">
        <v>96.3</v>
      </c>
      <c r="J66" s="254">
        <v>96.9</v>
      </c>
      <c r="K66" s="254">
        <v>96.6</v>
      </c>
      <c r="L66" s="250">
        <v>96.2</v>
      </c>
      <c r="M66" s="223"/>
      <c r="N66" s="306">
        <v>100.4</v>
      </c>
      <c r="O66" s="307">
        <v>100.5</v>
      </c>
      <c r="P66" s="308">
        <v>98.5</v>
      </c>
      <c r="Q66" s="361">
        <v>100.6</v>
      </c>
      <c r="R66" s="309">
        <v>98.6</v>
      </c>
      <c r="S66" s="307">
        <v>97.6</v>
      </c>
      <c r="T66" s="310">
        <v>97.8</v>
      </c>
      <c r="U66" s="366">
        <v>98.1</v>
      </c>
      <c r="V66" s="367">
        <v>96.8</v>
      </c>
      <c r="W66" s="220"/>
      <c r="X66" s="235"/>
    </row>
    <row r="67" spans="1:24" ht="18" customHeight="1" x14ac:dyDescent="0.25">
      <c r="A67" s="220"/>
      <c r="B67" s="205">
        <v>4</v>
      </c>
      <c r="C67" s="206">
        <v>2012</v>
      </c>
      <c r="D67" s="249">
        <v>97.1</v>
      </c>
      <c r="E67" s="254">
        <v>97.1</v>
      </c>
      <c r="F67" s="254">
        <v>96.8</v>
      </c>
      <c r="G67" s="254">
        <v>96.8</v>
      </c>
      <c r="H67" s="254">
        <v>97</v>
      </c>
      <c r="I67" s="254">
        <v>96.6</v>
      </c>
      <c r="J67" s="254">
        <v>97.3</v>
      </c>
      <c r="K67" s="254">
        <v>96.8</v>
      </c>
      <c r="L67" s="250">
        <v>96.2</v>
      </c>
      <c r="M67" s="223"/>
      <c r="N67" s="306">
        <v>100.3</v>
      </c>
      <c r="O67" s="307">
        <v>100.5</v>
      </c>
      <c r="P67" s="308">
        <v>98.5</v>
      </c>
      <c r="Q67" s="361">
        <v>102.6</v>
      </c>
      <c r="R67" s="309">
        <v>98.8</v>
      </c>
      <c r="S67" s="307">
        <v>99.3</v>
      </c>
      <c r="T67" s="310">
        <v>99.7</v>
      </c>
      <c r="U67" s="366">
        <v>102.9</v>
      </c>
      <c r="V67" s="367">
        <v>101.3</v>
      </c>
      <c r="W67" s="220"/>
      <c r="X67" s="235"/>
    </row>
    <row r="68" spans="1:24" ht="18" customHeight="1" x14ac:dyDescent="0.25">
      <c r="A68" s="220"/>
      <c r="B68" s="205">
        <v>5</v>
      </c>
      <c r="C68" s="206">
        <v>2012</v>
      </c>
      <c r="D68" s="249">
        <v>97.2</v>
      </c>
      <c r="E68" s="254">
        <v>97.4</v>
      </c>
      <c r="F68" s="254">
        <v>96.9</v>
      </c>
      <c r="G68" s="254">
        <v>96.9</v>
      </c>
      <c r="H68" s="254">
        <v>97.1</v>
      </c>
      <c r="I68" s="254">
        <v>96.5</v>
      </c>
      <c r="J68" s="254">
        <v>97.4</v>
      </c>
      <c r="K68" s="254">
        <v>96.9</v>
      </c>
      <c r="L68" s="250">
        <v>96.6</v>
      </c>
      <c r="M68" s="223"/>
      <c r="N68" s="306">
        <v>99.9</v>
      </c>
      <c r="O68" s="307">
        <v>100</v>
      </c>
      <c r="P68" s="308">
        <v>100.3</v>
      </c>
      <c r="Q68" s="361">
        <v>103.6</v>
      </c>
      <c r="R68" s="309">
        <v>99.7</v>
      </c>
      <c r="S68" s="307">
        <v>99.6</v>
      </c>
      <c r="T68" s="310">
        <v>100.1</v>
      </c>
      <c r="U68" s="366">
        <v>103.8</v>
      </c>
      <c r="V68" s="367">
        <v>102.2</v>
      </c>
      <c r="W68" s="220"/>
      <c r="X68" s="235"/>
    </row>
    <row r="69" spans="1:24" ht="18" customHeight="1" x14ac:dyDescent="0.25">
      <c r="A69" s="220"/>
      <c r="B69" s="205">
        <v>6</v>
      </c>
      <c r="C69" s="206">
        <v>2012</v>
      </c>
      <c r="D69" s="249">
        <v>97.6</v>
      </c>
      <c r="E69" s="254">
        <v>97.5</v>
      </c>
      <c r="F69" s="254">
        <v>96.9</v>
      </c>
      <c r="G69" s="254">
        <v>97</v>
      </c>
      <c r="H69" s="254">
        <v>97.2</v>
      </c>
      <c r="I69" s="254">
        <v>97.2</v>
      </c>
      <c r="J69" s="254">
        <v>97.7</v>
      </c>
      <c r="K69" s="254">
        <v>97.3</v>
      </c>
      <c r="L69" s="250">
        <v>97.1</v>
      </c>
      <c r="M69" s="223"/>
      <c r="N69" s="306">
        <v>99.8</v>
      </c>
      <c r="O69" s="307">
        <v>100</v>
      </c>
      <c r="P69" s="308">
        <v>100.6</v>
      </c>
      <c r="Q69" s="361">
        <v>99.7</v>
      </c>
      <c r="R69" s="309">
        <v>99.9</v>
      </c>
      <c r="S69" s="307">
        <v>99.8</v>
      </c>
      <c r="T69" s="310">
        <v>100.4</v>
      </c>
      <c r="U69" s="366">
        <v>101.5</v>
      </c>
      <c r="V69" s="367">
        <v>100.2</v>
      </c>
      <c r="W69" s="220"/>
      <c r="X69" s="235"/>
    </row>
    <row r="70" spans="1:24" ht="18" customHeight="1" x14ac:dyDescent="0.25">
      <c r="A70" s="220"/>
      <c r="B70" s="205">
        <v>7</v>
      </c>
      <c r="C70" s="206">
        <v>2012</v>
      </c>
      <c r="D70" s="249">
        <v>97.8</v>
      </c>
      <c r="E70" s="254">
        <v>97.6</v>
      </c>
      <c r="F70" s="254">
        <v>97.4</v>
      </c>
      <c r="G70" s="254">
        <v>97.3</v>
      </c>
      <c r="H70" s="254">
        <v>97.5</v>
      </c>
      <c r="I70" s="254">
        <v>97.3</v>
      </c>
      <c r="J70" s="254">
        <v>97.9</v>
      </c>
      <c r="K70" s="254">
        <v>97.5</v>
      </c>
      <c r="L70" s="250">
        <v>97.5</v>
      </c>
      <c r="M70" s="223"/>
      <c r="N70" s="306">
        <v>100</v>
      </c>
      <c r="O70" s="307">
        <v>100.3</v>
      </c>
      <c r="P70" s="308">
        <v>101</v>
      </c>
      <c r="Q70" s="361">
        <v>92.1</v>
      </c>
      <c r="R70" s="309">
        <v>100.1</v>
      </c>
      <c r="S70" s="307">
        <v>100.3</v>
      </c>
      <c r="T70" s="310">
        <v>100.4</v>
      </c>
      <c r="U70" s="366">
        <v>95.6</v>
      </c>
      <c r="V70" s="367">
        <v>93.9</v>
      </c>
      <c r="W70" s="220"/>
      <c r="X70" s="235"/>
    </row>
    <row r="71" spans="1:24" ht="18" customHeight="1" x14ac:dyDescent="0.25">
      <c r="A71" s="220"/>
      <c r="B71" s="205">
        <v>8</v>
      </c>
      <c r="C71" s="206">
        <v>2012</v>
      </c>
      <c r="D71" s="249">
        <v>98</v>
      </c>
      <c r="E71" s="254">
        <v>97.8</v>
      </c>
      <c r="F71" s="254">
        <v>97.4</v>
      </c>
      <c r="G71" s="254">
        <v>97.5</v>
      </c>
      <c r="H71" s="254">
        <v>97.7</v>
      </c>
      <c r="I71" s="254">
        <v>97.7</v>
      </c>
      <c r="J71" s="254">
        <v>98.2</v>
      </c>
      <c r="K71" s="254">
        <v>97.8</v>
      </c>
      <c r="L71" s="250">
        <v>97.6</v>
      </c>
      <c r="M71" s="223"/>
      <c r="N71" s="306">
        <v>100.3</v>
      </c>
      <c r="O71" s="307">
        <v>100.3</v>
      </c>
      <c r="P71" s="308">
        <v>100.7</v>
      </c>
      <c r="Q71" s="361">
        <v>94.3</v>
      </c>
      <c r="R71" s="309">
        <v>100.3</v>
      </c>
      <c r="S71" s="307">
        <v>99.8</v>
      </c>
      <c r="T71" s="310">
        <v>100.7</v>
      </c>
      <c r="U71" s="366">
        <v>97</v>
      </c>
      <c r="V71" s="367">
        <v>95.2</v>
      </c>
      <c r="W71" s="220"/>
      <c r="X71" s="235"/>
    </row>
    <row r="72" spans="1:24" ht="18" customHeight="1" x14ac:dyDescent="0.25">
      <c r="A72" s="220"/>
      <c r="B72" s="205">
        <v>9</v>
      </c>
      <c r="C72" s="206">
        <v>2012</v>
      </c>
      <c r="D72" s="249">
        <v>98.8</v>
      </c>
      <c r="E72" s="254">
        <v>98.7</v>
      </c>
      <c r="F72" s="254">
        <v>98.6</v>
      </c>
      <c r="G72" s="254">
        <v>98.4</v>
      </c>
      <c r="H72" s="254">
        <v>98.7</v>
      </c>
      <c r="I72" s="254">
        <v>99.1</v>
      </c>
      <c r="J72" s="254">
        <v>99</v>
      </c>
      <c r="K72" s="254">
        <v>98.7</v>
      </c>
      <c r="L72" s="250">
        <v>98.5</v>
      </c>
      <c r="M72" s="223"/>
      <c r="N72" s="306">
        <v>100.1</v>
      </c>
      <c r="O72" s="307">
        <v>100.3</v>
      </c>
      <c r="P72" s="308">
        <v>100.5</v>
      </c>
      <c r="Q72" s="361">
        <v>100.3</v>
      </c>
      <c r="R72" s="309">
        <v>100.8</v>
      </c>
      <c r="S72" s="307">
        <v>101.6</v>
      </c>
      <c r="T72" s="310">
        <v>100.7</v>
      </c>
      <c r="U72" s="366">
        <v>103.5</v>
      </c>
      <c r="V72" s="367">
        <v>101.8</v>
      </c>
      <c r="W72" s="220"/>
      <c r="X72" s="235"/>
    </row>
    <row r="73" spans="1:24" ht="18" customHeight="1" x14ac:dyDescent="0.25">
      <c r="A73" s="220"/>
      <c r="B73" s="205">
        <v>10</v>
      </c>
      <c r="C73" s="206">
        <v>2012</v>
      </c>
      <c r="D73" s="249">
        <v>99.4</v>
      </c>
      <c r="E73" s="254">
        <v>99.4</v>
      </c>
      <c r="F73" s="254">
        <v>99.2</v>
      </c>
      <c r="G73" s="254">
        <v>99.1</v>
      </c>
      <c r="H73" s="254">
        <v>99.4</v>
      </c>
      <c r="I73" s="254">
        <v>99.8</v>
      </c>
      <c r="J73" s="254">
        <v>99.7</v>
      </c>
      <c r="K73" s="254">
        <v>99.5</v>
      </c>
      <c r="L73" s="250">
        <v>99.3</v>
      </c>
      <c r="M73" s="223"/>
      <c r="N73" s="306">
        <v>99.8</v>
      </c>
      <c r="O73" s="307">
        <v>98.9</v>
      </c>
      <c r="P73" s="308">
        <v>100.6</v>
      </c>
      <c r="Q73" s="361">
        <v>105.3</v>
      </c>
      <c r="R73" s="309">
        <v>100.8</v>
      </c>
      <c r="S73" s="307">
        <v>102</v>
      </c>
      <c r="T73" s="310">
        <v>101.1</v>
      </c>
      <c r="U73" s="366">
        <v>104</v>
      </c>
      <c r="V73" s="367">
        <v>105.6</v>
      </c>
      <c r="W73" s="220"/>
      <c r="X73" s="235"/>
    </row>
    <row r="74" spans="1:24" ht="18" customHeight="1" x14ac:dyDescent="0.25">
      <c r="A74" s="220"/>
      <c r="B74" s="205">
        <v>11</v>
      </c>
      <c r="C74" s="206">
        <v>2012</v>
      </c>
      <c r="D74" s="249">
        <v>99.7</v>
      </c>
      <c r="E74" s="254">
        <v>99.9</v>
      </c>
      <c r="F74" s="254">
        <v>99.8</v>
      </c>
      <c r="G74" s="254">
        <v>99.5</v>
      </c>
      <c r="H74" s="254">
        <v>99.7</v>
      </c>
      <c r="I74" s="254">
        <v>99.9</v>
      </c>
      <c r="J74" s="254">
        <v>99.8</v>
      </c>
      <c r="K74" s="254">
        <v>99.6</v>
      </c>
      <c r="L74" s="250">
        <v>99.5</v>
      </c>
      <c r="M74" s="223"/>
      <c r="N74" s="306">
        <v>100.1</v>
      </c>
      <c r="O74" s="307">
        <v>98.9</v>
      </c>
      <c r="P74" s="308">
        <v>101.4</v>
      </c>
      <c r="Q74" s="361">
        <v>106.8</v>
      </c>
      <c r="R74" s="309">
        <v>101.2</v>
      </c>
      <c r="S74" s="307">
        <v>102.5</v>
      </c>
      <c r="T74" s="310">
        <v>101.5</v>
      </c>
      <c r="U74" s="366">
        <v>106.5</v>
      </c>
      <c r="V74" s="367">
        <v>106.5</v>
      </c>
      <c r="W74" s="220"/>
      <c r="X74" s="235"/>
    </row>
    <row r="75" spans="1:24" ht="18" customHeight="1" thickBot="1" x14ac:dyDescent="0.3">
      <c r="A75" s="220"/>
      <c r="B75" s="207">
        <v>12</v>
      </c>
      <c r="C75" s="208">
        <v>2012</v>
      </c>
      <c r="D75" s="257">
        <v>100</v>
      </c>
      <c r="E75" s="262">
        <v>100</v>
      </c>
      <c r="F75" s="262">
        <v>100</v>
      </c>
      <c r="G75" s="262">
        <v>100</v>
      </c>
      <c r="H75" s="262">
        <v>100</v>
      </c>
      <c r="I75" s="262">
        <v>100</v>
      </c>
      <c r="J75" s="262">
        <v>100</v>
      </c>
      <c r="K75" s="262">
        <v>100</v>
      </c>
      <c r="L75" s="258">
        <v>100</v>
      </c>
      <c r="M75" s="223"/>
      <c r="N75" s="345">
        <v>100.4</v>
      </c>
      <c r="O75" s="346">
        <v>100</v>
      </c>
      <c r="P75" s="347">
        <v>102.3</v>
      </c>
      <c r="Q75" s="372">
        <v>106</v>
      </c>
      <c r="R75" s="349">
        <v>101.5</v>
      </c>
      <c r="S75" s="346">
        <v>102.6</v>
      </c>
      <c r="T75" s="350">
        <v>101.7</v>
      </c>
      <c r="U75" s="377">
        <v>106</v>
      </c>
      <c r="V75" s="378">
        <v>106</v>
      </c>
      <c r="W75" s="220"/>
      <c r="X75" s="833" t="s">
        <v>132</v>
      </c>
    </row>
    <row r="76" spans="1:24" ht="18" customHeight="1" thickTop="1" x14ac:dyDescent="0.25">
      <c r="A76" s="220"/>
      <c r="B76" s="203">
        <v>1</v>
      </c>
      <c r="C76" s="204">
        <v>2013</v>
      </c>
      <c r="D76" s="265">
        <v>100.2</v>
      </c>
      <c r="E76" s="270">
        <v>100.2</v>
      </c>
      <c r="F76" s="270">
        <v>100.4</v>
      </c>
      <c r="G76" s="270">
        <v>100.2</v>
      </c>
      <c r="H76" s="270">
        <v>100.1</v>
      </c>
      <c r="I76" s="270">
        <v>100.4</v>
      </c>
      <c r="J76" s="270">
        <v>100.4</v>
      </c>
      <c r="K76" s="270">
        <v>100.4</v>
      </c>
      <c r="L76" s="266">
        <v>100.5</v>
      </c>
      <c r="M76" s="223"/>
      <c r="N76" s="340">
        <v>101.8</v>
      </c>
      <c r="O76" s="341">
        <v>103.2</v>
      </c>
      <c r="P76" s="342">
        <v>104.4</v>
      </c>
      <c r="Q76" s="360">
        <v>103.4</v>
      </c>
      <c r="R76" s="343">
        <v>102.3</v>
      </c>
      <c r="S76" s="341">
        <v>103.1</v>
      </c>
      <c r="T76" s="342">
        <v>102.4</v>
      </c>
      <c r="U76" s="364">
        <v>103.4</v>
      </c>
      <c r="V76" s="365">
        <v>103.4</v>
      </c>
      <c r="W76" s="220"/>
      <c r="X76" s="833"/>
    </row>
    <row r="77" spans="1:24" ht="18" customHeight="1" x14ac:dyDescent="0.25">
      <c r="A77" s="220"/>
      <c r="B77" s="205">
        <v>2</v>
      </c>
      <c r="C77" s="206">
        <v>2013</v>
      </c>
      <c r="D77" s="249">
        <v>100.9</v>
      </c>
      <c r="E77" s="254">
        <v>100.9</v>
      </c>
      <c r="F77" s="254">
        <v>100.8</v>
      </c>
      <c r="G77" s="254">
        <v>100.9</v>
      </c>
      <c r="H77" s="254">
        <v>101.1</v>
      </c>
      <c r="I77" s="254">
        <v>101.2</v>
      </c>
      <c r="J77" s="254">
        <v>101.6</v>
      </c>
      <c r="K77" s="254">
        <v>101.3</v>
      </c>
      <c r="L77" s="250">
        <v>100.8</v>
      </c>
      <c r="M77" s="223"/>
      <c r="N77" s="306">
        <v>102.2</v>
      </c>
      <c r="O77" s="307">
        <v>104.8</v>
      </c>
      <c r="P77" s="308">
        <v>105.1</v>
      </c>
      <c r="Q77" s="361">
        <v>105</v>
      </c>
      <c r="R77" s="309">
        <v>102.5</v>
      </c>
      <c r="S77" s="307">
        <v>103.1</v>
      </c>
      <c r="T77" s="308">
        <v>102.4</v>
      </c>
      <c r="U77" s="366">
        <v>105</v>
      </c>
      <c r="V77" s="367">
        <v>105</v>
      </c>
      <c r="W77" s="220"/>
      <c r="X77" s="235"/>
    </row>
    <row r="78" spans="1:24" ht="18" customHeight="1" x14ac:dyDescent="0.25">
      <c r="A78" s="220"/>
      <c r="B78" s="205">
        <v>3</v>
      </c>
      <c r="C78" s="206">
        <v>2013</v>
      </c>
      <c r="D78" s="249">
        <v>102.1</v>
      </c>
      <c r="E78" s="254">
        <v>101.9</v>
      </c>
      <c r="F78" s="254">
        <v>101.8</v>
      </c>
      <c r="G78" s="254">
        <v>102</v>
      </c>
      <c r="H78" s="254">
        <v>102.3</v>
      </c>
      <c r="I78" s="254">
        <v>101.9</v>
      </c>
      <c r="J78" s="254">
        <v>102.9</v>
      </c>
      <c r="K78" s="254">
        <v>102.1</v>
      </c>
      <c r="L78" s="250">
        <v>101.9</v>
      </c>
      <c r="M78" s="223"/>
      <c r="N78" s="306">
        <v>103.1</v>
      </c>
      <c r="O78" s="307">
        <v>104.5</v>
      </c>
      <c r="P78" s="308">
        <v>104.9</v>
      </c>
      <c r="Q78" s="361">
        <v>110.5</v>
      </c>
      <c r="R78" s="309">
        <v>103.6</v>
      </c>
      <c r="S78" s="307">
        <v>103.5</v>
      </c>
      <c r="T78" s="308">
        <v>103.6</v>
      </c>
      <c r="U78" s="366">
        <v>110.5</v>
      </c>
      <c r="V78" s="367">
        <v>110.6</v>
      </c>
      <c r="W78" s="220"/>
      <c r="X78" s="235"/>
    </row>
    <row r="79" spans="1:24" ht="18" customHeight="1" x14ac:dyDescent="0.25">
      <c r="A79" s="220"/>
      <c r="B79" s="205">
        <v>4</v>
      </c>
      <c r="C79" s="206">
        <v>2013</v>
      </c>
      <c r="D79" s="249">
        <v>102.5</v>
      </c>
      <c r="E79" s="254">
        <v>102.3</v>
      </c>
      <c r="F79" s="254">
        <v>102.3</v>
      </c>
      <c r="G79" s="254">
        <v>102.2</v>
      </c>
      <c r="H79" s="254">
        <v>102.6</v>
      </c>
      <c r="I79" s="254">
        <v>102.4</v>
      </c>
      <c r="J79" s="254">
        <v>103.2</v>
      </c>
      <c r="K79" s="254">
        <v>102.4</v>
      </c>
      <c r="L79" s="250">
        <v>102.4</v>
      </c>
      <c r="M79" s="223"/>
      <c r="N79" s="306">
        <v>103.9</v>
      </c>
      <c r="O79" s="307">
        <v>106.3</v>
      </c>
      <c r="P79" s="308">
        <v>105.6</v>
      </c>
      <c r="Q79" s="361">
        <v>111.3</v>
      </c>
      <c r="R79" s="309">
        <v>103.7</v>
      </c>
      <c r="S79" s="307">
        <v>103.6</v>
      </c>
      <c r="T79" s="308">
        <v>103.6</v>
      </c>
      <c r="U79" s="366">
        <v>111.3</v>
      </c>
      <c r="V79" s="367">
        <v>111.3</v>
      </c>
      <c r="W79" s="220"/>
      <c r="X79" s="235"/>
    </row>
    <row r="80" spans="1:24" ht="18" customHeight="1" x14ac:dyDescent="0.25">
      <c r="A80" s="220"/>
      <c r="B80" s="205">
        <v>5</v>
      </c>
      <c r="C80" s="206">
        <v>2013</v>
      </c>
      <c r="D80" s="249">
        <v>102.2</v>
      </c>
      <c r="E80" s="254">
        <v>102</v>
      </c>
      <c r="F80" s="254">
        <v>102.1</v>
      </c>
      <c r="G80" s="254">
        <v>102.2</v>
      </c>
      <c r="H80" s="254">
        <v>102.3</v>
      </c>
      <c r="I80" s="254">
        <v>102.1</v>
      </c>
      <c r="J80" s="254">
        <v>102.9</v>
      </c>
      <c r="K80" s="254">
        <v>102.3</v>
      </c>
      <c r="L80" s="250">
        <v>102.2</v>
      </c>
      <c r="M80" s="223"/>
      <c r="N80" s="306">
        <v>104.2</v>
      </c>
      <c r="O80" s="307">
        <v>107.2</v>
      </c>
      <c r="P80" s="308">
        <v>107.1</v>
      </c>
      <c r="Q80" s="361">
        <v>106.1</v>
      </c>
      <c r="R80" s="309">
        <v>104.5</v>
      </c>
      <c r="S80" s="307">
        <v>104.2</v>
      </c>
      <c r="T80" s="308">
        <v>103.9</v>
      </c>
      <c r="U80" s="366">
        <v>106.2</v>
      </c>
      <c r="V80" s="367">
        <v>106</v>
      </c>
      <c r="W80" s="220"/>
      <c r="X80" s="235"/>
    </row>
    <row r="81" spans="1:24" ht="18" customHeight="1" x14ac:dyDescent="0.25">
      <c r="A81" s="220"/>
      <c r="B81" s="205">
        <v>6</v>
      </c>
      <c r="C81" s="206">
        <v>2013</v>
      </c>
      <c r="D81" s="249">
        <v>102.5</v>
      </c>
      <c r="E81" s="254">
        <v>102.3</v>
      </c>
      <c r="F81" s="254">
        <v>102.4</v>
      </c>
      <c r="G81" s="254">
        <v>102.7</v>
      </c>
      <c r="H81" s="254">
        <v>102.5</v>
      </c>
      <c r="I81" s="254">
        <v>102.3</v>
      </c>
      <c r="J81" s="254">
        <v>103.3</v>
      </c>
      <c r="K81" s="254">
        <v>102.4</v>
      </c>
      <c r="L81" s="250">
        <v>102.2</v>
      </c>
      <c r="M81" s="223"/>
      <c r="N81" s="306">
        <v>104.9</v>
      </c>
      <c r="O81" s="307">
        <v>107.3</v>
      </c>
      <c r="P81" s="308">
        <v>108.3</v>
      </c>
      <c r="Q81" s="361">
        <v>105.7</v>
      </c>
      <c r="R81" s="309">
        <v>105.4</v>
      </c>
      <c r="S81" s="307">
        <v>104.6</v>
      </c>
      <c r="T81" s="308">
        <v>104.7</v>
      </c>
      <c r="U81" s="366">
        <v>105.8</v>
      </c>
      <c r="V81" s="367">
        <v>105.6</v>
      </c>
      <c r="W81" s="220"/>
      <c r="X81" s="235"/>
    </row>
    <row r="82" spans="1:24" ht="18" customHeight="1" x14ac:dyDescent="0.25">
      <c r="A82" s="220"/>
      <c r="B82" s="205">
        <v>7</v>
      </c>
      <c r="C82" s="206">
        <v>2013</v>
      </c>
      <c r="D82" s="249">
        <v>103.5</v>
      </c>
      <c r="E82" s="254">
        <v>103.2</v>
      </c>
      <c r="F82" s="254">
        <v>103.5</v>
      </c>
      <c r="G82" s="254">
        <v>103.6</v>
      </c>
      <c r="H82" s="254">
        <v>103.7</v>
      </c>
      <c r="I82" s="254">
        <v>103.1</v>
      </c>
      <c r="J82" s="254">
        <v>104.3</v>
      </c>
      <c r="K82" s="254">
        <v>103.2</v>
      </c>
      <c r="L82" s="250">
        <v>103.5</v>
      </c>
      <c r="M82" s="223"/>
      <c r="N82" s="306">
        <v>105.4</v>
      </c>
      <c r="O82" s="307">
        <v>107.3</v>
      </c>
      <c r="P82" s="308">
        <v>109.4</v>
      </c>
      <c r="Q82" s="361">
        <v>113.1</v>
      </c>
      <c r="R82" s="309">
        <v>107.1</v>
      </c>
      <c r="S82" s="307">
        <v>106.9</v>
      </c>
      <c r="T82" s="308">
        <v>106.1</v>
      </c>
      <c r="U82" s="366">
        <v>113.1</v>
      </c>
      <c r="V82" s="367">
        <v>113.1</v>
      </c>
      <c r="W82" s="220"/>
      <c r="X82" s="235"/>
    </row>
    <row r="83" spans="1:24" ht="18" customHeight="1" x14ac:dyDescent="0.25">
      <c r="A83" s="220"/>
      <c r="B83" s="205">
        <v>8</v>
      </c>
      <c r="C83" s="206">
        <v>2013</v>
      </c>
      <c r="D83" s="249">
        <v>103.9</v>
      </c>
      <c r="E83" s="254">
        <v>103.5</v>
      </c>
      <c r="F83" s="254">
        <v>104</v>
      </c>
      <c r="G83" s="254">
        <v>104</v>
      </c>
      <c r="H83" s="254">
        <v>104</v>
      </c>
      <c r="I83" s="254">
        <v>103.5</v>
      </c>
      <c r="J83" s="254">
        <v>104.6</v>
      </c>
      <c r="K83" s="254">
        <v>103.6</v>
      </c>
      <c r="L83" s="250">
        <v>104.4</v>
      </c>
      <c r="M83" s="223"/>
      <c r="N83" s="306">
        <v>105.6</v>
      </c>
      <c r="O83" s="307">
        <v>107.1</v>
      </c>
      <c r="P83" s="308">
        <v>109.1</v>
      </c>
      <c r="Q83" s="361">
        <v>116.2</v>
      </c>
      <c r="R83" s="309">
        <v>108.1</v>
      </c>
      <c r="S83" s="307">
        <v>107.4</v>
      </c>
      <c r="T83" s="308">
        <v>106.6</v>
      </c>
      <c r="U83" s="366">
        <v>116.1</v>
      </c>
      <c r="V83" s="367">
        <v>116.2</v>
      </c>
      <c r="W83" s="220"/>
      <c r="X83" s="235"/>
    </row>
    <row r="84" spans="1:24" ht="18" customHeight="1" x14ac:dyDescent="0.25">
      <c r="A84" s="220"/>
      <c r="B84" s="205">
        <v>9</v>
      </c>
      <c r="C84" s="206">
        <v>2013</v>
      </c>
      <c r="D84" s="249">
        <v>104.7</v>
      </c>
      <c r="E84" s="254">
        <v>104.2</v>
      </c>
      <c r="F84" s="254">
        <v>104.4</v>
      </c>
      <c r="G84" s="254">
        <v>104.5</v>
      </c>
      <c r="H84" s="254">
        <v>104.4</v>
      </c>
      <c r="I84" s="254">
        <v>104</v>
      </c>
      <c r="J84" s="254">
        <v>105</v>
      </c>
      <c r="K84" s="254">
        <v>104.3</v>
      </c>
      <c r="L84" s="250">
        <v>104.7</v>
      </c>
      <c r="M84" s="223"/>
      <c r="N84" s="306">
        <v>105.1</v>
      </c>
      <c r="O84" s="307">
        <v>107.1</v>
      </c>
      <c r="P84" s="308">
        <v>108.4</v>
      </c>
      <c r="Q84" s="361">
        <v>117.5</v>
      </c>
      <c r="R84" s="309">
        <v>108.6</v>
      </c>
      <c r="S84" s="307">
        <v>107.6</v>
      </c>
      <c r="T84" s="308">
        <v>107</v>
      </c>
      <c r="U84" s="366">
        <v>117.4</v>
      </c>
      <c r="V84" s="367">
        <v>117.5</v>
      </c>
      <c r="W84" s="220"/>
      <c r="X84" s="235"/>
    </row>
    <row r="85" spans="1:24" ht="18" customHeight="1" x14ac:dyDescent="0.25">
      <c r="A85" s="220"/>
      <c r="B85" s="205">
        <v>10</v>
      </c>
      <c r="C85" s="206">
        <v>2013</v>
      </c>
      <c r="D85" s="249">
        <v>104.9</v>
      </c>
      <c r="E85" s="254">
        <v>104.6</v>
      </c>
      <c r="F85" s="254">
        <v>104.5</v>
      </c>
      <c r="G85" s="254">
        <v>104.9</v>
      </c>
      <c r="H85" s="254">
        <v>104.5</v>
      </c>
      <c r="I85" s="254">
        <v>104.3</v>
      </c>
      <c r="J85" s="254">
        <v>105.3</v>
      </c>
      <c r="K85" s="254">
        <v>104.6</v>
      </c>
      <c r="L85" s="250">
        <v>105</v>
      </c>
      <c r="M85" s="223"/>
      <c r="N85" s="306">
        <v>105.2</v>
      </c>
      <c r="O85" s="307">
        <v>107.2</v>
      </c>
      <c r="P85" s="308">
        <v>108.5</v>
      </c>
      <c r="Q85" s="361">
        <v>117.3</v>
      </c>
      <c r="R85" s="309">
        <v>109.5</v>
      </c>
      <c r="S85" s="307">
        <v>108.2</v>
      </c>
      <c r="T85" s="308">
        <v>107.6</v>
      </c>
      <c r="U85" s="366">
        <v>117.2</v>
      </c>
      <c r="V85" s="367">
        <v>117.3</v>
      </c>
      <c r="W85" s="220"/>
      <c r="X85" s="235"/>
    </row>
    <row r="86" spans="1:24" ht="18" customHeight="1" x14ac:dyDescent="0.25">
      <c r="A86" s="220"/>
      <c r="B86" s="205">
        <v>11</v>
      </c>
      <c r="C86" s="206">
        <v>2013</v>
      </c>
      <c r="D86" s="249">
        <v>105</v>
      </c>
      <c r="E86" s="254">
        <v>104.7</v>
      </c>
      <c r="F86" s="254">
        <v>104.8</v>
      </c>
      <c r="G86" s="254">
        <v>105.1</v>
      </c>
      <c r="H86" s="254">
        <v>104.6</v>
      </c>
      <c r="I86" s="254">
        <v>104.5</v>
      </c>
      <c r="J86" s="254">
        <v>105.2</v>
      </c>
      <c r="K86" s="254">
        <v>104.7</v>
      </c>
      <c r="L86" s="250">
        <v>105.2</v>
      </c>
      <c r="M86" s="223"/>
      <c r="N86" s="306">
        <v>105.1</v>
      </c>
      <c r="O86" s="307">
        <v>107.1</v>
      </c>
      <c r="P86" s="308">
        <v>107.8</v>
      </c>
      <c r="Q86" s="361">
        <v>115.8</v>
      </c>
      <c r="R86" s="309">
        <v>109.9</v>
      </c>
      <c r="S86" s="307">
        <v>108.6</v>
      </c>
      <c r="T86" s="308">
        <v>108.1</v>
      </c>
      <c r="U86" s="366">
        <v>115.8</v>
      </c>
      <c r="V86" s="367">
        <v>115.9</v>
      </c>
      <c r="W86" s="220"/>
      <c r="X86" s="235"/>
    </row>
    <row r="87" spans="1:24" ht="18" customHeight="1" x14ac:dyDescent="0.25">
      <c r="A87" s="220"/>
      <c r="B87" s="207">
        <v>12</v>
      </c>
      <c r="C87" s="208">
        <v>2013</v>
      </c>
      <c r="D87" s="257">
        <v>105</v>
      </c>
      <c r="E87" s="262">
        <v>105</v>
      </c>
      <c r="F87" s="262">
        <v>104.9</v>
      </c>
      <c r="G87" s="262">
        <v>105.3</v>
      </c>
      <c r="H87" s="262">
        <v>105.2</v>
      </c>
      <c r="I87" s="262">
        <v>104.7</v>
      </c>
      <c r="J87" s="262">
        <v>105.6</v>
      </c>
      <c r="K87" s="262">
        <v>104.9</v>
      </c>
      <c r="L87" s="258">
        <v>105.3</v>
      </c>
      <c r="M87" s="223"/>
      <c r="N87" s="312">
        <v>105.1</v>
      </c>
      <c r="O87" s="313">
        <v>107</v>
      </c>
      <c r="P87" s="314">
        <v>108</v>
      </c>
      <c r="Q87" s="362">
        <v>116.8</v>
      </c>
      <c r="R87" s="315">
        <v>110.1</v>
      </c>
      <c r="S87" s="313">
        <v>108.7</v>
      </c>
      <c r="T87" s="314">
        <v>108.4</v>
      </c>
      <c r="U87" s="368">
        <v>116.7</v>
      </c>
      <c r="V87" s="369">
        <v>116.8</v>
      </c>
      <c r="W87" s="220"/>
      <c r="X87" s="235"/>
    </row>
    <row r="88" spans="1:24" ht="18" customHeight="1" x14ac:dyDescent="0.25">
      <c r="A88" s="220"/>
      <c r="B88" s="203">
        <v>1</v>
      </c>
      <c r="C88" s="204">
        <v>2014</v>
      </c>
      <c r="D88" s="265">
        <v>105.9</v>
      </c>
      <c r="E88" s="270">
        <v>105.7</v>
      </c>
      <c r="F88" s="270">
        <v>105.7</v>
      </c>
      <c r="G88" s="270">
        <v>105.9</v>
      </c>
      <c r="H88" s="270">
        <v>106</v>
      </c>
      <c r="I88" s="270">
        <v>105.5</v>
      </c>
      <c r="J88" s="270">
        <v>106.3</v>
      </c>
      <c r="K88" s="270">
        <v>105.6</v>
      </c>
      <c r="L88" s="266">
        <v>106.9</v>
      </c>
      <c r="M88" s="223"/>
      <c r="N88" s="299">
        <v>105.9</v>
      </c>
      <c r="O88" s="300">
        <v>108.1</v>
      </c>
      <c r="P88" s="301">
        <v>109.1</v>
      </c>
      <c r="Q88" s="363">
        <v>119.8</v>
      </c>
      <c r="R88" s="303">
        <v>110.7</v>
      </c>
      <c r="S88" s="300">
        <v>108.8</v>
      </c>
      <c r="T88" s="301">
        <v>108.4</v>
      </c>
      <c r="U88" s="370">
        <v>119.7</v>
      </c>
      <c r="V88" s="371">
        <v>119.9</v>
      </c>
      <c r="W88" s="220"/>
      <c r="X88" s="235"/>
    </row>
    <row r="89" spans="1:24" ht="18" customHeight="1" x14ac:dyDescent="0.25">
      <c r="A89" s="220"/>
      <c r="B89" s="205">
        <v>2</v>
      </c>
      <c r="C89" s="206">
        <v>2014</v>
      </c>
      <c r="D89" s="249">
        <v>106.7</v>
      </c>
      <c r="E89" s="254">
        <v>107</v>
      </c>
      <c r="F89" s="254">
        <v>106.6</v>
      </c>
      <c r="G89" s="254">
        <v>106.9</v>
      </c>
      <c r="H89" s="254">
        <v>107</v>
      </c>
      <c r="I89" s="254">
        <v>106.6</v>
      </c>
      <c r="J89" s="254">
        <v>107.7</v>
      </c>
      <c r="K89" s="254">
        <v>106.7</v>
      </c>
      <c r="L89" s="250">
        <v>107.6</v>
      </c>
      <c r="M89" s="223"/>
      <c r="N89" s="306">
        <v>106</v>
      </c>
      <c r="O89" s="307">
        <v>111.3</v>
      </c>
      <c r="P89" s="308">
        <v>112.8</v>
      </c>
      <c r="Q89" s="361">
        <v>122.1</v>
      </c>
      <c r="R89" s="309">
        <v>112.3</v>
      </c>
      <c r="S89" s="307">
        <v>115.8</v>
      </c>
      <c r="T89" s="308">
        <v>109</v>
      </c>
      <c r="U89" s="366">
        <v>122</v>
      </c>
      <c r="V89" s="367">
        <v>122.2</v>
      </c>
      <c r="W89" s="220"/>
      <c r="X89" s="235"/>
    </row>
    <row r="90" spans="1:24" ht="18" customHeight="1" x14ac:dyDescent="0.25">
      <c r="A90" s="220"/>
      <c r="B90" s="205">
        <v>3</v>
      </c>
      <c r="C90" s="206">
        <v>2014</v>
      </c>
      <c r="D90" s="249">
        <v>108.2</v>
      </c>
      <c r="E90" s="254">
        <v>108.5</v>
      </c>
      <c r="F90" s="254">
        <v>107.8</v>
      </c>
      <c r="G90" s="254">
        <v>108.1</v>
      </c>
      <c r="H90" s="254">
        <v>108.7</v>
      </c>
      <c r="I90" s="254">
        <v>107.7</v>
      </c>
      <c r="J90" s="254">
        <v>109.1</v>
      </c>
      <c r="K90" s="254">
        <v>107.9</v>
      </c>
      <c r="L90" s="250">
        <v>109.2</v>
      </c>
      <c r="M90" s="223"/>
      <c r="N90" s="306">
        <v>107.1</v>
      </c>
      <c r="O90" s="307">
        <v>112.1</v>
      </c>
      <c r="P90" s="308">
        <v>114.3</v>
      </c>
      <c r="Q90" s="361">
        <v>124.7</v>
      </c>
      <c r="R90" s="309">
        <v>112.1</v>
      </c>
      <c r="S90" s="307">
        <v>116.2</v>
      </c>
      <c r="T90" s="308">
        <v>109.5</v>
      </c>
      <c r="U90" s="366">
        <v>124.5</v>
      </c>
      <c r="V90" s="367">
        <v>124.8</v>
      </c>
      <c r="W90" s="220"/>
      <c r="X90" s="235"/>
    </row>
    <row r="91" spans="1:24" ht="18" customHeight="1" x14ac:dyDescent="0.25">
      <c r="A91" s="220"/>
      <c r="B91" s="205">
        <v>4</v>
      </c>
      <c r="C91" s="206">
        <v>2014</v>
      </c>
      <c r="D91" s="249">
        <v>108.5</v>
      </c>
      <c r="E91" s="254">
        <v>109</v>
      </c>
      <c r="F91" s="254">
        <v>108.3</v>
      </c>
      <c r="G91" s="254">
        <v>108.7</v>
      </c>
      <c r="H91" s="254">
        <v>109.5</v>
      </c>
      <c r="I91" s="254">
        <v>108.2</v>
      </c>
      <c r="J91" s="254">
        <v>109.6</v>
      </c>
      <c r="K91" s="254">
        <v>108.4</v>
      </c>
      <c r="L91" s="250">
        <v>109.4</v>
      </c>
      <c r="M91" s="223"/>
      <c r="N91" s="306">
        <v>107.5</v>
      </c>
      <c r="O91" s="307">
        <v>112.6</v>
      </c>
      <c r="P91" s="308">
        <v>114.2</v>
      </c>
      <c r="Q91" s="361">
        <v>123.6</v>
      </c>
      <c r="R91" s="309">
        <v>112.9</v>
      </c>
      <c r="S91" s="307">
        <v>117.5</v>
      </c>
      <c r="T91" s="308">
        <v>111.4</v>
      </c>
      <c r="U91" s="366">
        <v>123.7</v>
      </c>
      <c r="V91" s="367">
        <v>123.6</v>
      </c>
      <c r="W91" s="220"/>
      <c r="X91" s="235"/>
    </row>
    <row r="92" spans="1:24" ht="18" customHeight="1" x14ac:dyDescent="0.25">
      <c r="A92" s="220"/>
      <c r="B92" s="205">
        <v>5</v>
      </c>
      <c r="C92" s="206">
        <v>2014</v>
      </c>
      <c r="D92" s="249">
        <v>108.9</v>
      </c>
      <c r="E92" s="254">
        <v>109.1</v>
      </c>
      <c r="F92" s="254">
        <v>108.6</v>
      </c>
      <c r="G92" s="254">
        <v>108.9</v>
      </c>
      <c r="H92" s="254">
        <v>109.6</v>
      </c>
      <c r="I92" s="254">
        <v>108.6</v>
      </c>
      <c r="J92" s="254">
        <v>109.7</v>
      </c>
      <c r="K92" s="254">
        <v>108.9</v>
      </c>
      <c r="L92" s="250">
        <v>110.2</v>
      </c>
      <c r="M92" s="223"/>
      <c r="N92" s="306">
        <v>107.7</v>
      </c>
      <c r="O92" s="307">
        <v>112.4</v>
      </c>
      <c r="P92" s="308">
        <v>113.6</v>
      </c>
      <c r="Q92" s="361">
        <v>120.8</v>
      </c>
      <c r="R92" s="309">
        <v>113.4</v>
      </c>
      <c r="S92" s="307">
        <v>117.7</v>
      </c>
      <c r="T92" s="308">
        <v>111.8</v>
      </c>
      <c r="U92" s="366">
        <v>120.9</v>
      </c>
      <c r="V92" s="367">
        <v>120.7</v>
      </c>
      <c r="W92" s="220"/>
      <c r="X92" s="235"/>
    </row>
    <row r="93" spans="1:24" ht="18" customHeight="1" x14ac:dyDescent="0.25">
      <c r="A93" s="220"/>
      <c r="B93" s="205">
        <v>6</v>
      </c>
      <c r="C93" s="206">
        <v>2014</v>
      </c>
      <c r="D93" s="249">
        <v>109.2</v>
      </c>
      <c r="E93" s="254">
        <v>109.3</v>
      </c>
      <c r="F93" s="254">
        <v>109</v>
      </c>
      <c r="G93" s="254">
        <v>109.4</v>
      </c>
      <c r="H93" s="254">
        <v>109.9</v>
      </c>
      <c r="I93" s="254">
        <v>109.6</v>
      </c>
      <c r="J93" s="254">
        <v>110.1</v>
      </c>
      <c r="K93" s="254">
        <v>109.1</v>
      </c>
      <c r="L93" s="250">
        <v>110.7</v>
      </c>
      <c r="M93" s="223"/>
      <c r="N93" s="306">
        <v>108</v>
      </c>
      <c r="O93" s="307">
        <v>112.4</v>
      </c>
      <c r="P93" s="308">
        <v>114.1</v>
      </c>
      <c r="Q93" s="361">
        <v>118.6</v>
      </c>
      <c r="R93" s="309">
        <v>113.6</v>
      </c>
      <c r="S93" s="307">
        <v>116.7</v>
      </c>
      <c r="T93" s="308">
        <v>110.9</v>
      </c>
      <c r="U93" s="366">
        <v>118.7</v>
      </c>
      <c r="V93" s="367">
        <v>118.5</v>
      </c>
      <c r="W93" s="220"/>
      <c r="X93" s="235"/>
    </row>
    <row r="94" spans="1:24" ht="18" customHeight="1" x14ac:dyDescent="0.25">
      <c r="A94" s="220"/>
      <c r="B94" s="205">
        <v>7</v>
      </c>
      <c r="C94" s="206">
        <v>2014</v>
      </c>
      <c r="D94" s="249">
        <v>110.2</v>
      </c>
      <c r="E94" s="254">
        <v>110.2</v>
      </c>
      <c r="F94" s="254">
        <v>110.4</v>
      </c>
      <c r="G94" s="254">
        <v>110.1</v>
      </c>
      <c r="H94" s="254">
        <v>110.7</v>
      </c>
      <c r="I94" s="254">
        <v>110.5</v>
      </c>
      <c r="J94" s="254">
        <v>110.9</v>
      </c>
      <c r="K94" s="254">
        <v>109.6</v>
      </c>
      <c r="L94" s="250">
        <v>111.3</v>
      </c>
      <c r="M94" s="223"/>
      <c r="N94" s="306">
        <v>108</v>
      </c>
      <c r="O94" s="307">
        <v>112</v>
      </c>
      <c r="P94" s="308">
        <v>115.1</v>
      </c>
      <c r="Q94" s="361">
        <v>119.9</v>
      </c>
      <c r="R94" s="309">
        <v>113.7</v>
      </c>
      <c r="S94" s="307">
        <v>116.3</v>
      </c>
      <c r="T94" s="308">
        <v>110.6</v>
      </c>
      <c r="U94" s="366">
        <v>120</v>
      </c>
      <c r="V94" s="367">
        <v>119.8</v>
      </c>
      <c r="W94" s="220"/>
      <c r="X94" s="235"/>
    </row>
    <row r="95" spans="1:24" ht="18" customHeight="1" x14ac:dyDescent="0.25">
      <c r="A95" s="220"/>
      <c r="B95" s="205">
        <v>8</v>
      </c>
      <c r="C95" s="206">
        <v>2014</v>
      </c>
      <c r="D95" s="249">
        <v>110.5</v>
      </c>
      <c r="E95" s="254">
        <v>110.4</v>
      </c>
      <c r="F95" s="254">
        <v>110.5</v>
      </c>
      <c r="G95" s="254">
        <v>110.5</v>
      </c>
      <c r="H95" s="254">
        <v>111</v>
      </c>
      <c r="I95" s="254">
        <v>110.6</v>
      </c>
      <c r="J95" s="254">
        <v>111.3</v>
      </c>
      <c r="K95" s="254">
        <v>110.3</v>
      </c>
      <c r="L95" s="250">
        <v>111.6</v>
      </c>
      <c r="M95" s="223"/>
      <c r="N95" s="306">
        <v>108</v>
      </c>
      <c r="O95" s="307">
        <v>112</v>
      </c>
      <c r="P95" s="308">
        <v>114</v>
      </c>
      <c r="Q95" s="361">
        <v>119.4</v>
      </c>
      <c r="R95" s="309">
        <v>113.9</v>
      </c>
      <c r="S95" s="307">
        <v>117.2</v>
      </c>
      <c r="T95" s="308">
        <v>110.7</v>
      </c>
      <c r="U95" s="366">
        <v>119.5</v>
      </c>
      <c r="V95" s="367">
        <v>119.3</v>
      </c>
      <c r="W95" s="220"/>
      <c r="X95" s="235"/>
    </row>
    <row r="96" spans="1:24" ht="18" customHeight="1" x14ac:dyDescent="0.25">
      <c r="A96" s="220"/>
      <c r="B96" s="205">
        <v>9</v>
      </c>
      <c r="C96" s="206">
        <v>2014</v>
      </c>
      <c r="D96" s="249">
        <v>110.9</v>
      </c>
      <c r="E96" s="254">
        <v>110.7</v>
      </c>
      <c r="F96" s="254">
        <v>110.7</v>
      </c>
      <c r="G96" s="254">
        <v>110.5</v>
      </c>
      <c r="H96" s="254">
        <v>110.9</v>
      </c>
      <c r="I96" s="254">
        <v>110.6</v>
      </c>
      <c r="J96" s="254">
        <v>111.2</v>
      </c>
      <c r="K96" s="254">
        <v>110.3</v>
      </c>
      <c r="L96" s="250">
        <v>111.6</v>
      </c>
      <c r="M96" s="223"/>
      <c r="N96" s="306">
        <v>108.7</v>
      </c>
      <c r="O96" s="307">
        <v>113.2</v>
      </c>
      <c r="P96" s="308">
        <v>114.1</v>
      </c>
      <c r="Q96" s="361">
        <v>117</v>
      </c>
      <c r="R96" s="309">
        <v>113.9</v>
      </c>
      <c r="S96" s="307">
        <v>117.2</v>
      </c>
      <c r="T96" s="308">
        <v>110.6</v>
      </c>
      <c r="U96" s="366">
        <v>117.2</v>
      </c>
      <c r="V96" s="367">
        <v>116.9</v>
      </c>
      <c r="W96" s="220"/>
      <c r="X96" s="235"/>
    </row>
    <row r="97" spans="1:24" ht="18" customHeight="1" x14ac:dyDescent="0.25">
      <c r="A97" s="220"/>
      <c r="B97" s="205">
        <v>10</v>
      </c>
      <c r="C97" s="206">
        <v>2014</v>
      </c>
      <c r="D97" s="249">
        <v>111.2</v>
      </c>
      <c r="E97" s="254">
        <v>110.6</v>
      </c>
      <c r="F97" s="254">
        <v>110.6</v>
      </c>
      <c r="G97" s="254">
        <v>110.7</v>
      </c>
      <c r="H97" s="254">
        <v>111</v>
      </c>
      <c r="I97" s="254">
        <v>110.7</v>
      </c>
      <c r="J97" s="254">
        <v>111.4</v>
      </c>
      <c r="K97" s="254">
        <v>110.5</v>
      </c>
      <c r="L97" s="250">
        <v>111.6</v>
      </c>
      <c r="M97" s="223"/>
      <c r="N97" s="306">
        <v>108.8</v>
      </c>
      <c r="O97" s="307">
        <v>113.2</v>
      </c>
      <c r="P97" s="308">
        <v>114.4</v>
      </c>
      <c r="Q97" s="361">
        <v>115.8</v>
      </c>
      <c r="R97" s="309">
        <v>113.3</v>
      </c>
      <c r="S97" s="307">
        <v>117.1</v>
      </c>
      <c r="T97" s="308">
        <v>109.4</v>
      </c>
      <c r="U97" s="366">
        <v>116</v>
      </c>
      <c r="V97" s="367">
        <v>115.6</v>
      </c>
      <c r="W97" s="220"/>
      <c r="X97" s="235"/>
    </row>
    <row r="98" spans="1:24" ht="18" customHeight="1" x14ac:dyDescent="0.25">
      <c r="A98" s="220"/>
      <c r="B98" s="205">
        <v>11</v>
      </c>
      <c r="C98" s="206">
        <v>2014</v>
      </c>
      <c r="D98" s="249">
        <v>111.4</v>
      </c>
      <c r="E98" s="254">
        <v>110.7</v>
      </c>
      <c r="F98" s="254">
        <v>110.8</v>
      </c>
      <c r="G98" s="254">
        <v>110.9</v>
      </c>
      <c r="H98" s="254">
        <v>110.9</v>
      </c>
      <c r="I98" s="254">
        <v>110.5</v>
      </c>
      <c r="J98" s="254">
        <v>111.4</v>
      </c>
      <c r="K98" s="254">
        <v>110.5</v>
      </c>
      <c r="L98" s="250">
        <v>111.8</v>
      </c>
      <c r="M98" s="223"/>
      <c r="N98" s="306">
        <v>108.5</v>
      </c>
      <c r="O98" s="307">
        <v>114</v>
      </c>
      <c r="P98" s="308">
        <v>113.7</v>
      </c>
      <c r="Q98" s="361">
        <v>110.1</v>
      </c>
      <c r="R98" s="309">
        <v>113.6</v>
      </c>
      <c r="S98" s="307">
        <v>117.1</v>
      </c>
      <c r="T98" s="308">
        <v>109.4</v>
      </c>
      <c r="U98" s="366">
        <v>110.3</v>
      </c>
      <c r="V98" s="367">
        <v>109.8</v>
      </c>
      <c r="W98" s="220"/>
      <c r="X98" s="235"/>
    </row>
    <row r="99" spans="1:24" ht="18" customHeight="1" x14ac:dyDescent="0.25">
      <c r="A99" s="220"/>
      <c r="B99" s="207">
        <v>12</v>
      </c>
      <c r="C99" s="208">
        <v>2014</v>
      </c>
      <c r="D99" s="257">
        <v>111.2</v>
      </c>
      <c r="E99" s="262">
        <v>110.7</v>
      </c>
      <c r="F99" s="262">
        <v>110.4</v>
      </c>
      <c r="G99" s="262">
        <v>110.7</v>
      </c>
      <c r="H99" s="262">
        <v>110.8</v>
      </c>
      <c r="I99" s="262">
        <v>110.2</v>
      </c>
      <c r="J99" s="262">
        <v>111.1</v>
      </c>
      <c r="K99" s="262">
        <v>110.3</v>
      </c>
      <c r="L99" s="258">
        <v>111.5</v>
      </c>
      <c r="M99" s="223"/>
      <c r="N99" s="312">
        <v>108.1</v>
      </c>
      <c r="O99" s="313">
        <v>114</v>
      </c>
      <c r="P99" s="314">
        <v>110.5</v>
      </c>
      <c r="Q99" s="362">
        <v>105</v>
      </c>
      <c r="R99" s="315">
        <v>113.6</v>
      </c>
      <c r="S99" s="313">
        <v>117.1</v>
      </c>
      <c r="T99" s="314">
        <v>109.4</v>
      </c>
      <c r="U99" s="368">
        <v>105.3</v>
      </c>
      <c r="V99" s="369">
        <v>104.8</v>
      </c>
      <c r="W99" s="220"/>
      <c r="X99" s="235"/>
    </row>
    <row r="100" spans="1:24" ht="18" customHeight="1" x14ac:dyDescent="0.25">
      <c r="A100" s="220"/>
      <c r="B100" s="203">
        <v>1</v>
      </c>
      <c r="C100" s="204">
        <v>2015</v>
      </c>
      <c r="D100" s="265">
        <v>111.1</v>
      </c>
      <c r="E100" s="270">
        <v>110.8</v>
      </c>
      <c r="F100" s="270">
        <v>110.2</v>
      </c>
      <c r="G100" s="270">
        <v>110.8</v>
      </c>
      <c r="H100" s="270">
        <v>110.5</v>
      </c>
      <c r="I100" s="270">
        <v>110.2</v>
      </c>
      <c r="J100" s="270">
        <v>110.9</v>
      </c>
      <c r="K100" s="270">
        <v>110.3</v>
      </c>
      <c r="L100" s="266">
        <v>111.2</v>
      </c>
      <c r="M100" s="223"/>
      <c r="N100" s="299">
        <v>106.1</v>
      </c>
      <c r="O100" s="300">
        <v>111.3</v>
      </c>
      <c r="P100" s="301">
        <v>107.2</v>
      </c>
      <c r="Q100" s="363">
        <v>95.3</v>
      </c>
      <c r="R100" s="303">
        <v>114.8</v>
      </c>
      <c r="S100" s="300">
        <v>118</v>
      </c>
      <c r="T100" s="301">
        <v>110.1</v>
      </c>
      <c r="U100" s="370">
        <v>95.6</v>
      </c>
      <c r="V100" s="371">
        <v>94.9</v>
      </c>
      <c r="W100" s="220"/>
      <c r="X100" s="235"/>
    </row>
    <row r="101" spans="1:24" ht="18" customHeight="1" x14ac:dyDescent="0.25">
      <c r="A101" s="220"/>
      <c r="B101" s="205">
        <v>2</v>
      </c>
      <c r="C101" s="206">
        <v>2015</v>
      </c>
      <c r="D101" s="249">
        <v>111.5</v>
      </c>
      <c r="E101" s="254">
        <v>111.3</v>
      </c>
      <c r="F101" s="254">
        <v>110.8</v>
      </c>
      <c r="G101" s="254">
        <v>111.4</v>
      </c>
      <c r="H101" s="254">
        <v>111</v>
      </c>
      <c r="I101" s="254">
        <v>111</v>
      </c>
      <c r="J101" s="254">
        <v>111.8</v>
      </c>
      <c r="K101" s="254">
        <v>111</v>
      </c>
      <c r="L101" s="250">
        <v>111.7</v>
      </c>
      <c r="M101" s="223"/>
      <c r="N101" s="306">
        <v>105.5</v>
      </c>
      <c r="O101" s="307">
        <v>111.9</v>
      </c>
      <c r="P101" s="308">
        <v>102.4</v>
      </c>
      <c r="Q101" s="361">
        <v>85.7</v>
      </c>
      <c r="R101" s="309">
        <v>115.4</v>
      </c>
      <c r="S101" s="307">
        <v>118.2</v>
      </c>
      <c r="T101" s="308">
        <v>110.5</v>
      </c>
      <c r="U101" s="366">
        <v>86.2</v>
      </c>
      <c r="V101" s="367">
        <v>85.2</v>
      </c>
      <c r="W101" s="220"/>
      <c r="X101" s="235"/>
    </row>
    <row r="102" spans="1:24" ht="18" customHeight="1" x14ac:dyDescent="0.25">
      <c r="A102" s="220"/>
      <c r="B102" s="205">
        <v>3</v>
      </c>
      <c r="C102" s="206">
        <v>2015</v>
      </c>
      <c r="D102" s="249">
        <v>113.1</v>
      </c>
      <c r="E102" s="254">
        <v>112.4</v>
      </c>
      <c r="F102" s="254">
        <v>112.5</v>
      </c>
      <c r="G102" s="254">
        <v>113</v>
      </c>
      <c r="H102" s="254">
        <v>112.5</v>
      </c>
      <c r="I102" s="254">
        <v>112.3</v>
      </c>
      <c r="J102" s="254">
        <v>113.4</v>
      </c>
      <c r="K102" s="254">
        <v>112.1</v>
      </c>
      <c r="L102" s="250">
        <v>113</v>
      </c>
      <c r="M102" s="223"/>
      <c r="N102" s="306">
        <v>105.2</v>
      </c>
      <c r="O102" s="307">
        <v>111.3</v>
      </c>
      <c r="P102" s="308">
        <v>104.3</v>
      </c>
      <c r="Q102" s="361">
        <v>92.6</v>
      </c>
      <c r="R102" s="309">
        <v>115.5</v>
      </c>
      <c r="S102" s="307">
        <v>118.2</v>
      </c>
      <c r="T102" s="308">
        <v>110.5</v>
      </c>
      <c r="U102" s="366">
        <v>93</v>
      </c>
      <c r="V102" s="367">
        <v>92.2</v>
      </c>
      <c r="W102" s="220"/>
      <c r="X102" s="235"/>
    </row>
    <row r="103" spans="1:24" ht="18" customHeight="1" x14ac:dyDescent="0.25">
      <c r="A103" s="220"/>
      <c r="B103" s="205">
        <v>4</v>
      </c>
      <c r="C103" s="206">
        <v>2015</v>
      </c>
      <c r="D103" s="249">
        <v>114.1</v>
      </c>
      <c r="E103" s="254">
        <v>113.7</v>
      </c>
      <c r="F103" s="254">
        <v>113.6</v>
      </c>
      <c r="G103" s="254">
        <v>114.1</v>
      </c>
      <c r="H103" s="254">
        <v>113.4</v>
      </c>
      <c r="I103" s="254">
        <v>113.4</v>
      </c>
      <c r="J103" s="254">
        <v>114.4</v>
      </c>
      <c r="K103" s="254">
        <v>113.1</v>
      </c>
      <c r="L103" s="250">
        <v>114.1</v>
      </c>
      <c r="M103" s="223"/>
      <c r="N103" s="306">
        <v>102.2</v>
      </c>
      <c r="O103" s="307">
        <v>107.4</v>
      </c>
      <c r="P103" s="308">
        <v>102.6</v>
      </c>
      <c r="Q103" s="361">
        <v>104.1</v>
      </c>
      <c r="R103" s="309">
        <v>115.7</v>
      </c>
      <c r="S103" s="307">
        <v>116.3</v>
      </c>
      <c r="T103" s="308">
        <v>108.8</v>
      </c>
      <c r="U103" s="366">
        <v>104.5</v>
      </c>
      <c r="V103" s="367">
        <v>103.7</v>
      </c>
      <c r="W103" s="220"/>
      <c r="X103" s="235"/>
    </row>
    <row r="104" spans="1:24" ht="18" customHeight="1" x14ac:dyDescent="0.25">
      <c r="A104" s="220"/>
      <c r="B104" s="205">
        <v>5</v>
      </c>
      <c r="C104" s="206">
        <v>2015</v>
      </c>
      <c r="D104" s="249">
        <v>114.4</v>
      </c>
      <c r="E104" s="254">
        <v>113.9</v>
      </c>
      <c r="F104" s="254">
        <v>113.8</v>
      </c>
      <c r="G104" s="254">
        <v>114.4</v>
      </c>
      <c r="H104" s="254">
        <v>113.7</v>
      </c>
      <c r="I104" s="254">
        <v>113.5</v>
      </c>
      <c r="J104" s="254">
        <v>114.8</v>
      </c>
      <c r="K104" s="254">
        <v>113.5</v>
      </c>
      <c r="L104" s="250">
        <v>114</v>
      </c>
      <c r="M104" s="223"/>
      <c r="N104" s="306">
        <v>100.7</v>
      </c>
      <c r="O104" s="307">
        <v>105.6</v>
      </c>
      <c r="P104" s="308">
        <v>101.8</v>
      </c>
      <c r="Q104" s="361">
        <v>103.6</v>
      </c>
      <c r="R104" s="309">
        <v>115.9</v>
      </c>
      <c r="S104" s="307">
        <v>116.3</v>
      </c>
      <c r="T104" s="308">
        <v>108.7</v>
      </c>
      <c r="U104" s="366">
        <v>104</v>
      </c>
      <c r="V104" s="367">
        <v>103.2</v>
      </c>
      <c r="W104" s="220"/>
      <c r="X104" s="235"/>
    </row>
    <row r="105" spans="1:24" ht="18" customHeight="1" x14ac:dyDescent="0.25">
      <c r="A105" s="220"/>
      <c r="B105" s="205">
        <v>6</v>
      </c>
      <c r="C105" s="206">
        <v>2015</v>
      </c>
      <c r="D105" s="249">
        <v>114.8</v>
      </c>
      <c r="E105" s="254">
        <v>114.3</v>
      </c>
      <c r="F105" s="254">
        <v>114</v>
      </c>
      <c r="G105" s="254">
        <v>114.8</v>
      </c>
      <c r="H105" s="254">
        <v>114.2</v>
      </c>
      <c r="I105" s="254">
        <v>114</v>
      </c>
      <c r="J105" s="254">
        <v>115.2</v>
      </c>
      <c r="K105" s="254">
        <v>114</v>
      </c>
      <c r="L105" s="250">
        <v>115.1</v>
      </c>
      <c r="M105" s="223"/>
      <c r="N105" s="306">
        <v>100.9</v>
      </c>
      <c r="O105" s="307">
        <v>105.3</v>
      </c>
      <c r="P105" s="308">
        <v>103</v>
      </c>
      <c r="Q105" s="361">
        <v>108.2</v>
      </c>
      <c r="R105" s="309">
        <v>115.9</v>
      </c>
      <c r="S105" s="307">
        <v>116.6</v>
      </c>
      <c r="T105" s="308">
        <v>108.4</v>
      </c>
      <c r="U105" s="366">
        <v>108.5</v>
      </c>
      <c r="V105" s="367">
        <v>107.9</v>
      </c>
      <c r="W105" s="220"/>
      <c r="X105" s="235"/>
    </row>
    <row r="106" spans="1:24" ht="18" customHeight="1" x14ac:dyDescent="0.25">
      <c r="A106" s="220"/>
      <c r="B106" s="205">
        <v>7</v>
      </c>
      <c r="C106" s="206">
        <v>2015</v>
      </c>
      <c r="D106" s="249">
        <v>115.9</v>
      </c>
      <c r="E106" s="254">
        <v>115.3</v>
      </c>
      <c r="F106" s="254">
        <v>115.5</v>
      </c>
      <c r="G106" s="254">
        <v>116</v>
      </c>
      <c r="H106" s="254">
        <v>115.5</v>
      </c>
      <c r="I106" s="254">
        <v>115</v>
      </c>
      <c r="J106" s="254">
        <v>116.3</v>
      </c>
      <c r="K106" s="254">
        <v>114.8</v>
      </c>
      <c r="L106" s="250">
        <v>115.5</v>
      </c>
      <c r="M106" s="223"/>
      <c r="N106" s="306">
        <v>100.7</v>
      </c>
      <c r="O106" s="307">
        <v>105.4</v>
      </c>
      <c r="P106" s="308">
        <v>101.3</v>
      </c>
      <c r="Q106" s="361">
        <v>108.6</v>
      </c>
      <c r="R106" s="309">
        <v>116.1</v>
      </c>
      <c r="S106" s="307">
        <v>117.2</v>
      </c>
      <c r="T106" s="308">
        <v>107.8</v>
      </c>
      <c r="U106" s="366">
        <v>108.9</v>
      </c>
      <c r="V106" s="367">
        <v>108.2</v>
      </c>
      <c r="W106" s="220"/>
      <c r="X106" s="235"/>
    </row>
    <row r="107" spans="1:24" ht="18" customHeight="1" x14ac:dyDescent="0.25">
      <c r="A107" s="220"/>
      <c r="B107" s="205">
        <v>8</v>
      </c>
      <c r="C107" s="206">
        <v>2015</v>
      </c>
      <c r="D107" s="249">
        <v>115.9</v>
      </c>
      <c r="E107" s="254">
        <v>115.7</v>
      </c>
      <c r="F107" s="254">
        <v>115.5</v>
      </c>
      <c r="G107" s="254">
        <v>116.2</v>
      </c>
      <c r="H107" s="254">
        <v>115.5</v>
      </c>
      <c r="I107" s="254">
        <v>115.2</v>
      </c>
      <c r="J107" s="254">
        <v>116.4</v>
      </c>
      <c r="K107" s="254">
        <v>115</v>
      </c>
      <c r="L107" s="250">
        <v>115.6</v>
      </c>
      <c r="M107" s="223"/>
      <c r="N107" s="306">
        <v>101.1</v>
      </c>
      <c r="O107" s="307">
        <v>106</v>
      </c>
      <c r="P107" s="308">
        <v>101.2</v>
      </c>
      <c r="Q107" s="361">
        <v>101.4</v>
      </c>
      <c r="R107" s="309">
        <v>116.3</v>
      </c>
      <c r="S107" s="307">
        <v>117.8</v>
      </c>
      <c r="T107" s="308">
        <v>108.1</v>
      </c>
      <c r="U107" s="366">
        <v>101.9</v>
      </c>
      <c r="V107" s="367">
        <v>101</v>
      </c>
      <c r="W107" s="220"/>
      <c r="X107" s="235"/>
    </row>
    <row r="108" spans="1:24" ht="18" customHeight="1" x14ac:dyDescent="0.25">
      <c r="A108" s="220"/>
      <c r="B108" s="205">
        <v>9</v>
      </c>
      <c r="C108" s="206">
        <v>2015</v>
      </c>
      <c r="D108" s="249">
        <v>116.3</v>
      </c>
      <c r="E108" s="254">
        <v>115.5</v>
      </c>
      <c r="F108" s="254">
        <v>115</v>
      </c>
      <c r="G108" s="254">
        <v>116</v>
      </c>
      <c r="H108" s="254">
        <v>115.8</v>
      </c>
      <c r="I108" s="254">
        <v>115</v>
      </c>
      <c r="J108" s="254">
        <v>116.3</v>
      </c>
      <c r="K108" s="254">
        <v>114.7</v>
      </c>
      <c r="L108" s="250">
        <v>115.5</v>
      </c>
      <c r="M108" s="223"/>
      <c r="N108" s="306">
        <v>100.6</v>
      </c>
      <c r="O108" s="307">
        <v>105.7</v>
      </c>
      <c r="P108" s="308">
        <v>98.1</v>
      </c>
      <c r="Q108" s="361">
        <v>96.4</v>
      </c>
      <c r="R108" s="309">
        <v>117.4</v>
      </c>
      <c r="S108" s="307">
        <v>118.3</v>
      </c>
      <c r="T108" s="308">
        <v>108.9</v>
      </c>
      <c r="U108" s="366">
        <v>96.8</v>
      </c>
      <c r="V108" s="367">
        <v>95.9</v>
      </c>
      <c r="W108" s="220"/>
      <c r="X108" s="235"/>
    </row>
    <row r="109" spans="1:24" ht="18" customHeight="1" x14ac:dyDescent="0.25">
      <c r="A109" s="220"/>
      <c r="B109" s="205">
        <v>10</v>
      </c>
      <c r="C109" s="206">
        <v>2015</v>
      </c>
      <c r="D109" s="249">
        <v>116.7</v>
      </c>
      <c r="E109" s="254">
        <v>115.9</v>
      </c>
      <c r="F109" s="254">
        <v>115</v>
      </c>
      <c r="G109" s="254">
        <v>116.1</v>
      </c>
      <c r="H109" s="254">
        <v>116</v>
      </c>
      <c r="I109" s="254">
        <v>115.2</v>
      </c>
      <c r="J109" s="254">
        <v>116.6</v>
      </c>
      <c r="K109" s="254">
        <v>114.8</v>
      </c>
      <c r="L109" s="250">
        <v>116.1</v>
      </c>
      <c r="M109" s="223"/>
      <c r="N109" s="306">
        <v>100.9</v>
      </c>
      <c r="O109" s="307">
        <v>105.7</v>
      </c>
      <c r="P109" s="308">
        <v>95.6</v>
      </c>
      <c r="Q109" s="361">
        <v>101.4</v>
      </c>
      <c r="R109" s="309">
        <v>119.3</v>
      </c>
      <c r="S109" s="307">
        <v>119.5</v>
      </c>
      <c r="T109" s="308">
        <v>109.7</v>
      </c>
      <c r="U109" s="366">
        <v>101.8</v>
      </c>
      <c r="V109" s="367">
        <v>100.9</v>
      </c>
      <c r="W109" s="220"/>
      <c r="X109" s="235"/>
    </row>
    <row r="110" spans="1:24" ht="18" customHeight="1" x14ac:dyDescent="0.25">
      <c r="A110" s="220"/>
      <c r="B110" s="205">
        <v>11</v>
      </c>
      <c r="C110" s="206">
        <v>2015</v>
      </c>
      <c r="D110" s="249">
        <v>116.9</v>
      </c>
      <c r="E110" s="254">
        <v>116.3</v>
      </c>
      <c r="F110" s="254">
        <v>115.4</v>
      </c>
      <c r="G110" s="254">
        <v>116.3</v>
      </c>
      <c r="H110" s="254">
        <v>116</v>
      </c>
      <c r="I110" s="254">
        <v>115.3</v>
      </c>
      <c r="J110" s="254">
        <v>116.7</v>
      </c>
      <c r="K110" s="254">
        <v>115</v>
      </c>
      <c r="L110" s="250">
        <v>116.9</v>
      </c>
      <c r="M110" s="223"/>
      <c r="N110" s="306">
        <v>100.9</v>
      </c>
      <c r="O110" s="307">
        <v>105.6</v>
      </c>
      <c r="P110" s="308">
        <v>95.9</v>
      </c>
      <c r="Q110" s="361">
        <v>100.5</v>
      </c>
      <c r="R110" s="309">
        <v>119.4</v>
      </c>
      <c r="S110" s="307">
        <v>120.2</v>
      </c>
      <c r="T110" s="308">
        <v>110.1</v>
      </c>
      <c r="U110" s="366">
        <v>100.9</v>
      </c>
      <c r="V110" s="367">
        <v>100.1</v>
      </c>
      <c r="W110" s="220"/>
      <c r="X110" s="235"/>
    </row>
    <row r="111" spans="1:24" ht="18" customHeight="1" x14ac:dyDescent="0.25">
      <c r="A111" s="220"/>
      <c r="B111" s="207">
        <v>12</v>
      </c>
      <c r="C111" s="208">
        <v>2015</v>
      </c>
      <c r="D111" s="257">
        <v>117.2</v>
      </c>
      <c r="E111" s="262">
        <v>116.6</v>
      </c>
      <c r="F111" s="262">
        <v>115.5</v>
      </c>
      <c r="G111" s="262">
        <v>117</v>
      </c>
      <c r="H111" s="262">
        <v>116.2</v>
      </c>
      <c r="I111" s="262">
        <v>115.7</v>
      </c>
      <c r="J111" s="262">
        <v>117.1</v>
      </c>
      <c r="K111" s="262">
        <v>115.3</v>
      </c>
      <c r="L111" s="258">
        <v>116.7</v>
      </c>
      <c r="M111" s="223"/>
      <c r="N111" s="312">
        <v>100.6</v>
      </c>
      <c r="O111" s="313">
        <v>106</v>
      </c>
      <c r="P111" s="314">
        <v>97.6</v>
      </c>
      <c r="Q111" s="362">
        <v>100.2</v>
      </c>
      <c r="R111" s="315">
        <v>119.4</v>
      </c>
      <c r="S111" s="313">
        <v>120.3</v>
      </c>
      <c r="T111" s="314">
        <v>110.2</v>
      </c>
      <c r="U111" s="368">
        <v>100.6</v>
      </c>
      <c r="V111" s="369">
        <v>99.7</v>
      </c>
      <c r="W111" s="220"/>
      <c r="X111" s="235"/>
    </row>
    <row r="112" spans="1:24" ht="18" customHeight="1" x14ac:dyDescent="0.25">
      <c r="A112" s="220"/>
      <c r="B112" s="203">
        <v>1</v>
      </c>
      <c r="C112" s="204">
        <v>2016</v>
      </c>
      <c r="D112" s="265">
        <v>118</v>
      </c>
      <c r="E112" s="270">
        <v>117.7</v>
      </c>
      <c r="F112" s="270">
        <v>116.2</v>
      </c>
      <c r="G112" s="270">
        <v>118.3</v>
      </c>
      <c r="H112" s="270">
        <v>117.3</v>
      </c>
      <c r="I112" s="270">
        <v>116.8</v>
      </c>
      <c r="J112" s="270">
        <v>118</v>
      </c>
      <c r="K112" s="270">
        <v>116.5</v>
      </c>
      <c r="L112" s="266">
        <v>117.8</v>
      </c>
      <c r="M112" s="223"/>
      <c r="N112" s="299">
        <v>103.4</v>
      </c>
      <c r="O112" s="300">
        <v>108.3</v>
      </c>
      <c r="P112" s="301">
        <v>96.8</v>
      </c>
      <c r="Q112" s="363">
        <v>93</v>
      </c>
      <c r="R112" s="303">
        <v>125.4</v>
      </c>
      <c r="S112" s="300">
        <v>124.3</v>
      </c>
      <c r="T112" s="301">
        <v>113.5</v>
      </c>
      <c r="U112" s="370">
        <v>93.5</v>
      </c>
      <c r="V112" s="371">
        <v>92.5</v>
      </c>
      <c r="W112" s="220"/>
      <c r="X112" s="235"/>
    </row>
    <row r="113" spans="1:26" ht="18" customHeight="1" x14ac:dyDescent="0.25">
      <c r="A113" s="220"/>
      <c r="B113" s="205">
        <v>2</v>
      </c>
      <c r="C113" s="206">
        <v>2016</v>
      </c>
      <c r="D113" s="249">
        <v>119.3</v>
      </c>
      <c r="E113" s="254">
        <v>119.7</v>
      </c>
      <c r="F113" s="254">
        <v>117.7</v>
      </c>
      <c r="G113" s="254">
        <v>119.7</v>
      </c>
      <c r="H113" s="254">
        <v>118.8</v>
      </c>
      <c r="I113" s="254">
        <v>118.2</v>
      </c>
      <c r="J113" s="254">
        <v>119.7</v>
      </c>
      <c r="K113" s="254">
        <v>118.6</v>
      </c>
      <c r="L113" s="250">
        <v>120.2</v>
      </c>
      <c r="M113" s="223"/>
      <c r="N113" s="306">
        <v>105.6</v>
      </c>
      <c r="O113" s="307">
        <v>111.4</v>
      </c>
      <c r="P113" s="308">
        <v>97.2</v>
      </c>
      <c r="Q113" s="361">
        <v>87.2</v>
      </c>
      <c r="R113" s="309">
        <v>125.9</v>
      </c>
      <c r="S113" s="307">
        <v>123.9</v>
      </c>
      <c r="T113" s="308">
        <v>114.1</v>
      </c>
      <c r="U113" s="366">
        <v>87.7</v>
      </c>
      <c r="V113" s="367">
        <v>86.6</v>
      </c>
      <c r="W113" s="220"/>
      <c r="X113" s="235"/>
    </row>
    <row r="114" spans="1:26" ht="18" customHeight="1" x14ac:dyDescent="0.25">
      <c r="A114" s="220"/>
      <c r="B114" s="205">
        <v>3</v>
      </c>
      <c r="C114" s="206">
        <v>2016</v>
      </c>
      <c r="D114" s="249">
        <v>120.3</v>
      </c>
      <c r="E114" s="254">
        <v>120.4</v>
      </c>
      <c r="F114" s="254">
        <v>118.2</v>
      </c>
      <c r="G114" s="254">
        <v>120.8</v>
      </c>
      <c r="H114" s="254">
        <v>120</v>
      </c>
      <c r="I114" s="254">
        <v>119</v>
      </c>
      <c r="J114" s="254">
        <v>120.5</v>
      </c>
      <c r="K114" s="254">
        <v>119.3</v>
      </c>
      <c r="L114" s="250">
        <v>121.6</v>
      </c>
      <c r="M114" s="223"/>
      <c r="N114" s="306">
        <v>105.8</v>
      </c>
      <c r="O114" s="307">
        <v>109.9</v>
      </c>
      <c r="P114" s="308">
        <v>95.6</v>
      </c>
      <c r="Q114" s="361">
        <v>88.6</v>
      </c>
      <c r="R114" s="309">
        <v>127.2</v>
      </c>
      <c r="S114" s="307">
        <v>125.2</v>
      </c>
      <c r="T114" s="308">
        <v>115.3</v>
      </c>
      <c r="U114" s="366">
        <v>89.1</v>
      </c>
      <c r="V114" s="367">
        <v>88</v>
      </c>
      <c r="W114" s="220"/>
      <c r="X114" s="235"/>
    </row>
    <row r="115" spans="1:26" ht="18" customHeight="1" x14ac:dyDescent="0.25">
      <c r="A115" s="220"/>
      <c r="B115" s="205">
        <v>4</v>
      </c>
      <c r="C115" s="206">
        <v>2016</v>
      </c>
      <c r="D115" s="249">
        <v>121.1</v>
      </c>
      <c r="E115" s="254">
        <v>121.7</v>
      </c>
      <c r="F115" s="254">
        <v>119.1</v>
      </c>
      <c r="G115" s="254">
        <v>121.7</v>
      </c>
      <c r="H115" s="254">
        <v>121.2</v>
      </c>
      <c r="I115" s="254">
        <v>120.3</v>
      </c>
      <c r="J115" s="254">
        <v>121.5</v>
      </c>
      <c r="K115" s="254">
        <v>120.4</v>
      </c>
      <c r="L115" s="250">
        <v>123.5</v>
      </c>
      <c r="M115" s="223"/>
      <c r="N115" s="306">
        <v>106.6</v>
      </c>
      <c r="O115" s="307">
        <v>113.1</v>
      </c>
      <c r="P115" s="308">
        <v>97.3</v>
      </c>
      <c r="Q115" s="361">
        <v>97.3</v>
      </c>
      <c r="R115" s="309">
        <v>127.8</v>
      </c>
      <c r="S115" s="307">
        <v>125.2</v>
      </c>
      <c r="T115" s="308">
        <v>115.4</v>
      </c>
      <c r="U115" s="366">
        <v>98</v>
      </c>
      <c r="V115" s="367">
        <v>96.6</v>
      </c>
      <c r="W115" s="220"/>
      <c r="X115" s="235"/>
    </row>
    <row r="116" spans="1:26" ht="18" customHeight="1" x14ac:dyDescent="0.25">
      <c r="A116" s="220"/>
      <c r="B116" s="205">
        <v>5</v>
      </c>
      <c r="C116" s="206">
        <v>2016</v>
      </c>
      <c r="D116" s="249">
        <v>121.1</v>
      </c>
      <c r="E116" s="254">
        <v>122.1</v>
      </c>
      <c r="F116" s="254">
        <v>119.3</v>
      </c>
      <c r="G116" s="254">
        <v>122.1</v>
      </c>
      <c r="H116" s="254">
        <v>121.4</v>
      </c>
      <c r="I116" s="254">
        <v>120.4</v>
      </c>
      <c r="J116" s="254">
        <v>121.8</v>
      </c>
      <c r="K116" s="254">
        <v>120.7</v>
      </c>
      <c r="L116" s="250">
        <v>123.4</v>
      </c>
      <c r="M116" s="223"/>
      <c r="N116" s="306">
        <v>109.2</v>
      </c>
      <c r="O116" s="307">
        <v>117.2</v>
      </c>
      <c r="P116" s="308">
        <v>98.8</v>
      </c>
      <c r="Q116" s="361">
        <v>97.2</v>
      </c>
      <c r="R116" s="309">
        <v>128.80000000000001</v>
      </c>
      <c r="S116" s="307">
        <v>125.5</v>
      </c>
      <c r="T116" s="308">
        <v>116.5</v>
      </c>
      <c r="U116" s="366">
        <v>97.9</v>
      </c>
      <c r="V116" s="367">
        <v>96.5</v>
      </c>
      <c r="W116" s="220"/>
      <c r="X116" s="235"/>
    </row>
    <row r="117" spans="1:26" ht="18" customHeight="1" x14ac:dyDescent="0.25">
      <c r="A117" s="220"/>
      <c r="B117" s="205">
        <v>6</v>
      </c>
      <c r="C117" s="206">
        <v>2016</v>
      </c>
      <c r="D117" s="249">
        <v>122</v>
      </c>
      <c r="E117" s="254">
        <v>123</v>
      </c>
      <c r="F117" s="254">
        <v>120.2</v>
      </c>
      <c r="G117" s="254">
        <v>122.7</v>
      </c>
      <c r="H117" s="254">
        <v>122.3</v>
      </c>
      <c r="I117" s="254">
        <v>120.9</v>
      </c>
      <c r="J117" s="254">
        <v>122.4</v>
      </c>
      <c r="K117" s="254">
        <v>121</v>
      </c>
      <c r="L117" s="250">
        <v>123.6</v>
      </c>
      <c r="M117" s="223"/>
      <c r="N117" s="306">
        <v>109.4</v>
      </c>
      <c r="O117" s="307">
        <v>117</v>
      </c>
      <c r="P117" s="308">
        <v>101.9</v>
      </c>
      <c r="Q117" s="361">
        <v>104.4</v>
      </c>
      <c r="R117" s="309">
        <v>129.9</v>
      </c>
      <c r="S117" s="307">
        <v>126.3</v>
      </c>
      <c r="T117" s="308">
        <v>118</v>
      </c>
      <c r="U117" s="366">
        <v>105</v>
      </c>
      <c r="V117" s="367">
        <v>103.7</v>
      </c>
      <c r="W117" s="220"/>
      <c r="X117" s="235"/>
    </row>
    <row r="118" spans="1:26" ht="18" customHeight="1" x14ac:dyDescent="0.25">
      <c r="A118" s="220"/>
      <c r="B118" s="205">
        <v>7</v>
      </c>
      <c r="C118" s="206">
        <v>2016</v>
      </c>
      <c r="D118" s="249">
        <v>122.9</v>
      </c>
      <c r="E118" s="254">
        <v>123.7</v>
      </c>
      <c r="F118" s="254">
        <v>121.1</v>
      </c>
      <c r="G118" s="254">
        <v>123.6</v>
      </c>
      <c r="H118" s="254">
        <v>123.6</v>
      </c>
      <c r="I118" s="254">
        <v>122.1</v>
      </c>
      <c r="J118" s="254">
        <v>123.4</v>
      </c>
      <c r="K118" s="254">
        <v>121.8</v>
      </c>
      <c r="L118" s="250">
        <v>124.6</v>
      </c>
      <c r="M118" s="223"/>
      <c r="N118" s="306">
        <v>108.8</v>
      </c>
      <c r="O118" s="307">
        <v>115.8</v>
      </c>
      <c r="P118" s="308">
        <v>102.4</v>
      </c>
      <c r="Q118" s="361">
        <v>108.3</v>
      </c>
      <c r="R118" s="309">
        <v>130.5</v>
      </c>
      <c r="S118" s="307">
        <v>125.8</v>
      </c>
      <c r="T118" s="308">
        <v>117.6</v>
      </c>
      <c r="U118" s="366">
        <v>108.9</v>
      </c>
      <c r="V118" s="367">
        <v>107.7</v>
      </c>
      <c r="W118" s="220"/>
      <c r="X118" s="235"/>
    </row>
    <row r="119" spans="1:26" ht="18" customHeight="1" x14ac:dyDescent="0.25">
      <c r="A119" s="220"/>
      <c r="B119" s="205">
        <v>8</v>
      </c>
      <c r="C119" s="206">
        <v>2016</v>
      </c>
      <c r="D119" s="249">
        <v>122.7</v>
      </c>
      <c r="E119" s="254">
        <v>124.1</v>
      </c>
      <c r="F119" s="254">
        <v>121</v>
      </c>
      <c r="G119" s="254">
        <v>123.8</v>
      </c>
      <c r="H119" s="254">
        <v>123.4</v>
      </c>
      <c r="I119" s="254">
        <v>122.2</v>
      </c>
      <c r="J119" s="254">
        <v>123.2</v>
      </c>
      <c r="K119" s="254">
        <v>121.9</v>
      </c>
      <c r="L119" s="250">
        <v>124.6</v>
      </c>
      <c r="M119" s="223"/>
      <c r="N119" s="306">
        <v>110.1</v>
      </c>
      <c r="O119" s="307">
        <v>116.1</v>
      </c>
      <c r="P119" s="308">
        <v>102.9</v>
      </c>
      <c r="Q119" s="361">
        <v>101.4</v>
      </c>
      <c r="R119" s="309">
        <v>131.1</v>
      </c>
      <c r="S119" s="307">
        <v>126.7</v>
      </c>
      <c r="T119" s="308">
        <v>118.5</v>
      </c>
      <c r="U119" s="386">
        <v>102</v>
      </c>
      <c r="V119" s="367">
        <v>100.7</v>
      </c>
      <c r="W119" s="220"/>
      <c r="X119" s="235"/>
    </row>
    <row r="120" spans="1:26" ht="18" customHeight="1" x14ac:dyDescent="0.25">
      <c r="A120" s="220"/>
      <c r="B120" s="205">
        <v>9</v>
      </c>
      <c r="C120" s="206">
        <v>2016</v>
      </c>
      <c r="D120" s="249">
        <v>123.2</v>
      </c>
      <c r="E120" s="254">
        <v>124.2</v>
      </c>
      <c r="F120" s="254">
        <v>120.9</v>
      </c>
      <c r="G120" s="254">
        <v>124.3</v>
      </c>
      <c r="H120" s="254">
        <v>123.7</v>
      </c>
      <c r="I120" s="254">
        <v>122.1</v>
      </c>
      <c r="J120" s="254">
        <v>123.4</v>
      </c>
      <c r="K120" s="254">
        <v>122.1</v>
      </c>
      <c r="L120" s="250">
        <v>125.1</v>
      </c>
      <c r="M120" s="223"/>
      <c r="N120" s="306">
        <v>109.1</v>
      </c>
      <c r="O120" s="307">
        <v>115.7</v>
      </c>
      <c r="P120" s="308">
        <v>101</v>
      </c>
      <c r="Q120" s="361">
        <v>96.8</v>
      </c>
      <c r="R120" s="309">
        <v>131.1</v>
      </c>
      <c r="S120" s="307">
        <v>126.7</v>
      </c>
      <c r="T120" s="308">
        <v>118.6</v>
      </c>
      <c r="U120" s="386">
        <v>97.6</v>
      </c>
      <c r="V120" s="367">
        <v>96.1</v>
      </c>
      <c r="W120" s="220"/>
      <c r="X120" s="235"/>
    </row>
    <row r="121" spans="1:26" ht="18" customHeight="1" x14ac:dyDescent="0.25">
      <c r="A121" s="220"/>
      <c r="B121" s="205">
        <v>10</v>
      </c>
      <c r="C121" s="206">
        <v>2016</v>
      </c>
      <c r="D121" s="249">
        <v>123.9</v>
      </c>
      <c r="E121" s="254">
        <v>124.6</v>
      </c>
      <c r="F121" s="254">
        <v>121.6</v>
      </c>
      <c r="G121" s="254">
        <v>124.8</v>
      </c>
      <c r="H121" s="254">
        <v>124.3</v>
      </c>
      <c r="I121" s="254">
        <v>122.9</v>
      </c>
      <c r="J121" s="254">
        <v>124</v>
      </c>
      <c r="K121" s="254">
        <v>122.7</v>
      </c>
      <c r="L121" s="250">
        <v>125.6</v>
      </c>
      <c r="M121" s="223"/>
      <c r="N121" s="306">
        <v>109.6</v>
      </c>
      <c r="O121" s="307">
        <v>115.7</v>
      </c>
      <c r="P121" s="308">
        <v>101.8</v>
      </c>
      <c r="Q121" s="361">
        <v>99</v>
      </c>
      <c r="R121" s="309">
        <v>130.9</v>
      </c>
      <c r="S121" s="307">
        <v>126.6</v>
      </c>
      <c r="T121" s="308">
        <v>118.4</v>
      </c>
      <c r="U121" s="386">
        <v>99.7</v>
      </c>
      <c r="V121" s="367">
        <v>98.3</v>
      </c>
      <c r="W121" s="220"/>
      <c r="X121" s="235"/>
    </row>
    <row r="122" spans="1:26" ht="18" customHeight="1" x14ac:dyDescent="0.25">
      <c r="A122" s="220"/>
      <c r="B122" s="205">
        <v>11</v>
      </c>
      <c r="C122" s="206">
        <v>2016</v>
      </c>
      <c r="D122" s="249">
        <v>124.4</v>
      </c>
      <c r="E122" s="254">
        <v>125.1</v>
      </c>
      <c r="F122" s="254">
        <v>122</v>
      </c>
      <c r="G122" s="254">
        <v>125</v>
      </c>
      <c r="H122" s="254">
        <v>124.7</v>
      </c>
      <c r="I122" s="254">
        <v>123.2</v>
      </c>
      <c r="J122" s="254">
        <v>124.4</v>
      </c>
      <c r="K122" s="254">
        <v>123</v>
      </c>
      <c r="L122" s="250">
        <v>126.3</v>
      </c>
      <c r="M122" s="223"/>
      <c r="N122" s="306">
        <v>109.7</v>
      </c>
      <c r="O122" s="307">
        <v>115.7</v>
      </c>
      <c r="P122" s="308">
        <v>102.3</v>
      </c>
      <c r="Q122" s="361">
        <v>104.9</v>
      </c>
      <c r="R122" s="309">
        <v>130.6</v>
      </c>
      <c r="S122" s="307">
        <v>126.4</v>
      </c>
      <c r="T122" s="308">
        <v>118.1</v>
      </c>
      <c r="U122" s="386">
        <v>105.6</v>
      </c>
      <c r="V122" s="367">
        <v>104.3</v>
      </c>
      <c r="W122" s="220"/>
      <c r="X122" s="235"/>
    </row>
    <row r="123" spans="1:26" ht="18" customHeight="1" thickBot="1" x14ac:dyDescent="0.3">
      <c r="A123" s="220"/>
      <c r="B123" s="387">
        <v>12</v>
      </c>
      <c r="C123" s="388">
        <v>2016</v>
      </c>
      <c r="D123" s="391">
        <v>125.6</v>
      </c>
      <c r="E123" s="396">
        <v>125.7</v>
      </c>
      <c r="F123" s="396">
        <v>122</v>
      </c>
      <c r="G123" s="396">
        <v>125.5</v>
      </c>
      <c r="H123" s="396">
        <v>125</v>
      </c>
      <c r="I123" s="396">
        <v>123.6</v>
      </c>
      <c r="J123" s="396">
        <v>124.7</v>
      </c>
      <c r="K123" s="396">
        <v>123.3</v>
      </c>
      <c r="L123" s="392">
        <v>126.5</v>
      </c>
      <c r="M123" s="223"/>
      <c r="N123" s="398">
        <v>114.2</v>
      </c>
      <c r="O123" s="399">
        <v>118.6</v>
      </c>
      <c r="P123" s="400">
        <v>102.8</v>
      </c>
      <c r="Q123" s="401">
        <v>101.9</v>
      </c>
      <c r="R123" s="402">
        <v>130</v>
      </c>
      <c r="S123" s="399">
        <v>126.1</v>
      </c>
      <c r="T123" s="400">
        <v>117.3</v>
      </c>
      <c r="U123" s="403">
        <v>102.6</v>
      </c>
      <c r="V123" s="404">
        <v>101.2</v>
      </c>
      <c r="W123" s="220"/>
      <c r="X123" s="235"/>
    </row>
    <row r="124" spans="1:26" ht="30" customHeight="1" x14ac:dyDescent="0.25">
      <c r="A124" s="220"/>
      <c r="B124" s="864" t="s">
        <v>126</v>
      </c>
      <c r="C124" s="865"/>
      <c r="D124" s="799" t="s">
        <v>138</v>
      </c>
      <c r="E124" s="868"/>
      <c r="F124" s="868"/>
      <c r="G124" s="868"/>
      <c r="H124" s="868"/>
      <c r="I124" s="868"/>
      <c r="J124" s="868"/>
      <c r="K124" s="868"/>
      <c r="L124" s="869"/>
      <c r="M124" s="223"/>
      <c r="N124" s="880" t="s">
        <v>118</v>
      </c>
      <c r="O124" s="881"/>
      <c r="P124" s="881"/>
      <c r="Q124" s="881"/>
      <c r="R124" s="881"/>
      <c r="S124" s="881"/>
      <c r="T124" s="881"/>
      <c r="U124" s="881"/>
      <c r="V124" s="882"/>
      <c r="W124" s="220"/>
      <c r="X124" s="235"/>
    </row>
    <row r="125" spans="1:26" ht="35.25" customHeight="1" thickBot="1" x14ac:dyDescent="0.3">
      <c r="A125" s="220"/>
      <c r="B125" s="866"/>
      <c r="C125" s="867"/>
      <c r="D125" s="889" t="s">
        <v>124</v>
      </c>
      <c r="E125" s="890"/>
      <c r="F125" s="890"/>
      <c r="G125" s="890"/>
      <c r="H125" s="890"/>
      <c r="I125" s="890"/>
      <c r="J125" s="890"/>
      <c r="K125" s="890"/>
      <c r="L125" s="891"/>
      <c r="M125" s="223"/>
      <c r="N125" s="892" t="s">
        <v>109</v>
      </c>
      <c r="O125" s="893"/>
      <c r="P125" s="893"/>
      <c r="Q125" s="893"/>
      <c r="R125" s="893"/>
      <c r="S125" s="893"/>
      <c r="T125" s="893"/>
      <c r="U125" s="893"/>
      <c r="V125" s="894"/>
      <c r="W125" s="220"/>
      <c r="X125" s="353" t="s">
        <v>130</v>
      </c>
      <c r="Y125" s="834" t="s">
        <v>133</v>
      </c>
      <c r="Z125" s="834"/>
    </row>
    <row r="126" spans="1:26" ht="18" customHeight="1" thickTop="1" x14ac:dyDescent="0.25">
      <c r="A126" s="220"/>
      <c r="B126" s="414">
        <v>1</v>
      </c>
      <c r="C126" s="415">
        <v>2017</v>
      </c>
      <c r="D126" s="411">
        <f>ROUND(CPI!D126/$D$11,1)</f>
        <v>126.2</v>
      </c>
      <c r="E126" s="412">
        <f>ROUND(CPI!E126/$E$11,1)</f>
        <v>126.6</v>
      </c>
      <c r="F126" s="412">
        <f>ROUND(CPI!F126/$F$11,1)</f>
        <v>122.7</v>
      </c>
      <c r="G126" s="412">
        <f>ROUND(CPI!G126/$G$11,1)</f>
        <v>126.4</v>
      </c>
      <c r="H126" s="412">
        <f>ROUND(CPI!H126/$H$11,1)</f>
        <v>125.8</v>
      </c>
      <c r="I126" s="412">
        <f>ROUND(CPI!I126/$I$11,1)</f>
        <v>124.6</v>
      </c>
      <c r="J126" s="412">
        <f>ROUND(CPI!J126/$J$11,1)</f>
        <v>125.6</v>
      </c>
      <c r="K126" s="412">
        <f>ROUND(CPI!K126/$K$11,1)</f>
        <v>124</v>
      </c>
      <c r="L126" s="413">
        <f>ROUND(CPI!L126/$L$11,1)</f>
        <v>127.3</v>
      </c>
      <c r="M126" s="223"/>
      <c r="N126" s="658">
        <v>114.8</v>
      </c>
      <c r="O126" s="659">
        <v>120.6</v>
      </c>
      <c r="P126" s="660">
        <v>106.7</v>
      </c>
      <c r="Q126" s="661">
        <v>105.6</v>
      </c>
      <c r="R126" s="662">
        <v>129.9</v>
      </c>
      <c r="S126" s="659">
        <v>126.1</v>
      </c>
      <c r="T126" s="660">
        <v>117.3</v>
      </c>
      <c r="U126" s="663">
        <v>106.2</v>
      </c>
      <c r="V126" s="664">
        <v>104.9</v>
      </c>
      <c r="W126" s="220"/>
      <c r="X126" s="235" t="s">
        <v>131</v>
      </c>
      <c r="Y126" s="834"/>
      <c r="Z126" s="834"/>
    </row>
    <row r="127" spans="1:26" ht="18" customHeight="1" x14ac:dyDescent="0.25">
      <c r="A127" s="220"/>
      <c r="B127" s="205">
        <v>2</v>
      </c>
      <c r="C127" s="206">
        <v>2017</v>
      </c>
      <c r="D127" s="249">
        <f>ROUND(CPI!D127/$D$11,1)</f>
        <v>128</v>
      </c>
      <c r="E127" s="254">
        <f>ROUND(CPI!E127/$E$11,1)</f>
        <v>127.6</v>
      </c>
      <c r="F127" s="254">
        <f>ROUND(CPI!F127/$F$11,1)</f>
        <v>123.7</v>
      </c>
      <c r="G127" s="254">
        <f>ROUND(CPI!G127/$G$11,1)</f>
        <v>127.4</v>
      </c>
      <c r="H127" s="254">
        <f>ROUND(CPI!H127/$H$11,1)</f>
        <v>127</v>
      </c>
      <c r="I127" s="254">
        <f>ROUND(CPI!I127/$I$11,1)</f>
        <v>125.7</v>
      </c>
      <c r="J127" s="254">
        <f>ROUND(CPI!J127/$J$11,1)</f>
        <v>126.9</v>
      </c>
      <c r="K127" s="254">
        <f>ROUND(CPI!K127/$K$11,1)</f>
        <v>125</v>
      </c>
      <c r="L127" s="250">
        <f>ROUND(CPI!L127/$L$11,1)</f>
        <v>128.1</v>
      </c>
      <c r="M127" s="223"/>
      <c r="N127" s="306">
        <v>116.6</v>
      </c>
      <c r="O127" s="307">
        <v>122</v>
      </c>
      <c r="P127" s="308">
        <v>108.6</v>
      </c>
      <c r="Q127" s="361">
        <v>107.5</v>
      </c>
      <c r="R127" s="309">
        <v>130.5</v>
      </c>
      <c r="S127" s="307">
        <v>126.9</v>
      </c>
      <c r="T127" s="308">
        <v>118.6</v>
      </c>
      <c r="U127" s="366">
        <v>108.1</v>
      </c>
      <c r="V127" s="367">
        <v>106.9</v>
      </c>
      <c r="W127" s="220"/>
      <c r="X127" s="235" t="s">
        <v>146</v>
      </c>
    </row>
    <row r="128" spans="1:26" ht="18" customHeight="1" x14ac:dyDescent="0.25">
      <c r="A128" s="220"/>
      <c r="B128" s="205">
        <v>3</v>
      </c>
      <c r="C128" s="206">
        <v>2017</v>
      </c>
      <c r="D128" s="249">
        <f>ROUND(CPI!D128/$D$11,1)</f>
        <v>128.69999999999999</v>
      </c>
      <c r="E128" s="254">
        <f>ROUND(CPI!E128/$E$11,1)</f>
        <v>128.30000000000001</v>
      </c>
      <c r="F128" s="254">
        <f>ROUND(CPI!F128/$F$11,1)</f>
        <v>124</v>
      </c>
      <c r="G128" s="254">
        <f>ROUND(CPI!G128/$G$11,1)</f>
        <v>128</v>
      </c>
      <c r="H128" s="254">
        <f>ROUND(CPI!H128/$H$11,1)</f>
        <v>127.5</v>
      </c>
      <c r="I128" s="254">
        <f>ROUND(CPI!I128/$I$11,1)</f>
        <v>126.1</v>
      </c>
      <c r="J128" s="254">
        <f>ROUND(CPI!J128/$J$11,1)</f>
        <v>127.7</v>
      </c>
      <c r="K128" s="254">
        <f>ROUND(CPI!K128/$K$11,1)</f>
        <v>125.4</v>
      </c>
      <c r="L128" s="250">
        <f>ROUND(CPI!L128/$L$11,1)</f>
        <v>129</v>
      </c>
      <c r="M128" s="223"/>
      <c r="N128" s="306">
        <v>116</v>
      </c>
      <c r="O128" s="307">
        <v>121.1</v>
      </c>
      <c r="P128" s="308">
        <v>106.9</v>
      </c>
      <c r="Q128" s="361">
        <v>107.4</v>
      </c>
      <c r="R128" s="309">
        <v>130.5</v>
      </c>
      <c r="S128" s="307">
        <v>126.9</v>
      </c>
      <c r="T128" s="308">
        <v>118.5</v>
      </c>
      <c r="U128" s="366">
        <v>108</v>
      </c>
      <c r="V128" s="367">
        <v>106.7</v>
      </c>
      <c r="W128" s="220"/>
      <c r="X128" s="235"/>
    </row>
    <row r="129" spans="1:24" ht="18" customHeight="1" x14ac:dyDescent="0.25">
      <c r="A129" s="220"/>
      <c r="B129" s="205">
        <v>4</v>
      </c>
      <c r="C129" s="206">
        <v>2017</v>
      </c>
      <c r="D129" s="249">
        <f>ROUND(CPI!D129/$D$11,1)</f>
        <v>128.69999999999999</v>
      </c>
      <c r="E129" s="254">
        <f>ROUND(CPI!E129/$E$11,1)</f>
        <v>128.5</v>
      </c>
      <c r="F129" s="254">
        <f>ROUND(CPI!F129/$F$11,1)</f>
        <v>124.2</v>
      </c>
      <c r="G129" s="254">
        <f>ROUND(CPI!G129/$G$11,1)</f>
        <v>128.4</v>
      </c>
      <c r="H129" s="254">
        <f>ROUND(CPI!H129/$H$11,1)</f>
        <v>127.6</v>
      </c>
      <c r="I129" s="254">
        <f>ROUND(CPI!I129/$I$11,1)</f>
        <v>125.9</v>
      </c>
      <c r="J129" s="254">
        <f>ROUND(CPI!J129/$J$11,1)</f>
        <v>127.8</v>
      </c>
      <c r="K129" s="254">
        <f>ROUND(CPI!K129/$K$11,1)</f>
        <v>125.5</v>
      </c>
      <c r="L129" s="250">
        <f>ROUND(CPI!L129/$L$11,1)</f>
        <v>129.19999999999999</v>
      </c>
      <c r="M129" s="223"/>
      <c r="N129" s="306">
        <v>115.9</v>
      </c>
      <c r="O129" s="307">
        <v>121.8</v>
      </c>
      <c r="P129" s="308">
        <v>106.4</v>
      </c>
      <c r="Q129" s="361">
        <v>106.4</v>
      </c>
      <c r="R129" s="309">
        <v>132</v>
      </c>
      <c r="S129" s="307">
        <v>128.69999999999999</v>
      </c>
      <c r="T129" s="308">
        <v>120.9</v>
      </c>
      <c r="U129" s="366">
        <v>107</v>
      </c>
      <c r="V129" s="367">
        <v>105.7</v>
      </c>
      <c r="W129" s="220"/>
      <c r="X129" s="235"/>
    </row>
    <row r="130" spans="1:24" ht="18" customHeight="1" x14ac:dyDescent="0.25">
      <c r="A130" s="220"/>
      <c r="B130" s="205">
        <v>5</v>
      </c>
      <c r="C130" s="206">
        <v>2017</v>
      </c>
      <c r="D130" s="249">
        <f>ROUND(CPI!D130/$D$11,1)</f>
        <v>129</v>
      </c>
      <c r="E130" s="254">
        <f>ROUND(CPI!E130/$E$11,1)</f>
        <v>129.1</v>
      </c>
      <c r="F130" s="254">
        <f>ROUND(CPI!F130/$F$11,1)</f>
        <v>124.4</v>
      </c>
      <c r="G130" s="254">
        <f>ROUND(CPI!G130/$G$11,1)</f>
        <v>128.5</v>
      </c>
      <c r="H130" s="254">
        <f>ROUND(CPI!H130/$H$11,1)</f>
        <v>127.9</v>
      </c>
      <c r="I130" s="254">
        <f>ROUND(CPI!I130/$I$11,1)</f>
        <v>126.4</v>
      </c>
      <c r="J130" s="254">
        <f>ROUND(CPI!J130/$J$11,1)</f>
        <v>128.19999999999999</v>
      </c>
      <c r="K130" s="254">
        <f>ROUND(CPI!K130/$K$11,1)</f>
        <v>126</v>
      </c>
      <c r="L130" s="250">
        <f>ROUND(CPI!L130/$L$11,1)</f>
        <v>129.19999999999999</v>
      </c>
      <c r="M130" s="223"/>
      <c r="N130" s="306">
        <v>118</v>
      </c>
      <c r="O130" s="307">
        <v>124.5</v>
      </c>
      <c r="P130" s="308">
        <v>108.9</v>
      </c>
      <c r="Q130" s="361">
        <v>109.1</v>
      </c>
      <c r="R130" s="309">
        <v>132.1</v>
      </c>
      <c r="S130" s="307">
        <v>129</v>
      </c>
      <c r="T130" s="308">
        <v>120.5</v>
      </c>
      <c r="U130" s="366">
        <v>109.8</v>
      </c>
      <c r="V130" s="367">
        <v>108.6</v>
      </c>
      <c r="W130" s="220"/>
      <c r="X130" s="235"/>
    </row>
    <row r="131" spans="1:24" ht="18" customHeight="1" x14ac:dyDescent="0.25">
      <c r="A131" s="220"/>
      <c r="B131" s="205">
        <v>6</v>
      </c>
      <c r="C131" s="206">
        <v>2017</v>
      </c>
      <c r="D131" s="249">
        <f>ROUND(CPI!D131/$D$11,1)</f>
        <v>129.19999999999999</v>
      </c>
      <c r="E131" s="254">
        <f>ROUND(CPI!E131/$E$11,1)</f>
        <v>129.1</v>
      </c>
      <c r="F131" s="254">
        <f>ROUND(CPI!F131/$F$11,1)</f>
        <v>124.6</v>
      </c>
      <c r="G131" s="254">
        <f>ROUND(CPI!G131/$G$11,1)</f>
        <v>128.9</v>
      </c>
      <c r="H131" s="254">
        <f>ROUND(CPI!H131/$H$11,1)</f>
        <v>128.30000000000001</v>
      </c>
      <c r="I131" s="254">
        <f>ROUND(CPI!I131/$I$11,1)</f>
        <v>126.3</v>
      </c>
      <c r="J131" s="254">
        <f>ROUND(CPI!J131/$J$11,1)</f>
        <v>128.69999999999999</v>
      </c>
      <c r="K131" s="254">
        <f>ROUND(CPI!K131/$K$11,1)</f>
        <v>126.3</v>
      </c>
      <c r="L131" s="250">
        <f>ROUND(CPI!L131/$L$11,1)</f>
        <v>129.5</v>
      </c>
      <c r="M131" s="223"/>
      <c r="N131" s="306">
        <v>118</v>
      </c>
      <c r="O131" s="307">
        <v>124.6</v>
      </c>
      <c r="P131" s="308">
        <v>107.2</v>
      </c>
      <c r="Q131" s="361">
        <v>107</v>
      </c>
      <c r="R131" s="309">
        <v>131.30000000000001</v>
      </c>
      <c r="S131" s="307">
        <v>128.69999999999999</v>
      </c>
      <c r="T131" s="308">
        <v>120</v>
      </c>
      <c r="U131" s="366">
        <v>107.6</v>
      </c>
      <c r="V131" s="367">
        <v>106.4</v>
      </c>
      <c r="W131" s="220"/>
      <c r="X131" s="235"/>
    </row>
    <row r="132" spans="1:24" ht="18" customHeight="1" x14ac:dyDescent="0.25">
      <c r="A132" s="220"/>
      <c r="B132" s="205">
        <v>7</v>
      </c>
      <c r="C132" s="206">
        <v>2017</v>
      </c>
      <c r="D132" s="249">
        <f>ROUND(CPI!D132/$D$11,1)</f>
        <v>129.6</v>
      </c>
      <c r="E132" s="254">
        <f>ROUND(CPI!E132/$E$11,1)</f>
        <v>129.5</v>
      </c>
      <c r="F132" s="254">
        <f>ROUND(CPI!F132/$F$11,1)</f>
        <v>125.1</v>
      </c>
      <c r="G132" s="254">
        <f>ROUND(CPI!G132/$G$11,1)</f>
        <v>129</v>
      </c>
      <c r="H132" s="254">
        <f>ROUND(CPI!H132/$H$11,1)</f>
        <v>128.4</v>
      </c>
      <c r="I132" s="254">
        <f>ROUND(CPI!I132/$I$11,1)</f>
        <v>126.3</v>
      </c>
      <c r="J132" s="254">
        <f>ROUND(CPI!J132/$J$11,1)</f>
        <v>129.1</v>
      </c>
      <c r="K132" s="254">
        <f>ROUND(CPI!K132/$K$11,1)</f>
        <v>126.4</v>
      </c>
      <c r="L132" s="250">
        <f>ROUND(CPI!L132/$L$11,1)</f>
        <v>129.80000000000001</v>
      </c>
      <c r="M132" s="223"/>
      <c r="N132" s="306">
        <v>117.6</v>
      </c>
      <c r="O132" s="307">
        <v>124.9</v>
      </c>
      <c r="P132" s="308">
        <v>106</v>
      </c>
      <c r="Q132" s="361">
        <v>101.4</v>
      </c>
      <c r="R132" s="309">
        <v>131.4</v>
      </c>
      <c r="S132" s="307">
        <v>128.9</v>
      </c>
      <c r="T132" s="308">
        <v>120.1</v>
      </c>
      <c r="U132" s="366">
        <v>102.1</v>
      </c>
      <c r="V132" s="367">
        <v>100.7</v>
      </c>
      <c r="W132" s="220"/>
      <c r="X132" s="235"/>
    </row>
    <row r="133" spans="1:24" ht="18" customHeight="1" x14ac:dyDescent="0.25">
      <c r="A133" s="220"/>
      <c r="B133" s="205">
        <v>8</v>
      </c>
      <c r="C133" s="206">
        <v>2017</v>
      </c>
      <c r="D133" s="249">
        <f>ROUND(CPI!D133/$D$11,1)</f>
        <v>129.69999999999999</v>
      </c>
      <c r="E133" s="254">
        <f>ROUND(CPI!E133/$E$11,1)</f>
        <v>129.19999999999999</v>
      </c>
      <c r="F133" s="254">
        <f>ROUND(CPI!F133/$F$11,1)</f>
        <v>125.3</v>
      </c>
      <c r="G133" s="254">
        <f>ROUND(CPI!G133/$G$11,1)</f>
        <v>129.4</v>
      </c>
      <c r="H133" s="254">
        <f>ROUND(CPI!H133/$H$11,1)</f>
        <v>128.6</v>
      </c>
      <c r="I133" s="254">
        <f>ROUND(CPI!I133/$I$11,1)</f>
        <v>126.6</v>
      </c>
      <c r="J133" s="254">
        <f>ROUND(CPI!J133/$J$11,1)</f>
        <v>129.1</v>
      </c>
      <c r="K133" s="254">
        <f>ROUND(CPI!K133/$K$11,1)</f>
        <v>126.4</v>
      </c>
      <c r="L133" s="250">
        <f>ROUND(CPI!L133/$L$11,1)</f>
        <v>129.5</v>
      </c>
      <c r="M133" s="223"/>
      <c r="N133" s="306">
        <v>119</v>
      </c>
      <c r="O133" s="307">
        <v>127.3</v>
      </c>
      <c r="P133" s="308">
        <v>106.7</v>
      </c>
      <c r="Q133" s="361">
        <v>104.1</v>
      </c>
      <c r="R133" s="309">
        <v>131.6</v>
      </c>
      <c r="S133" s="307">
        <v>129</v>
      </c>
      <c r="T133" s="308">
        <v>120</v>
      </c>
      <c r="U133" s="366">
        <v>104.8</v>
      </c>
      <c r="V133" s="367">
        <v>103.4</v>
      </c>
      <c r="W133" s="220"/>
      <c r="X133" s="235"/>
    </row>
    <row r="134" spans="1:24" ht="18" customHeight="1" x14ac:dyDescent="0.25">
      <c r="A134" s="220"/>
      <c r="B134" s="205">
        <v>9</v>
      </c>
      <c r="C134" s="206">
        <v>2017</v>
      </c>
      <c r="D134" s="249">
        <f>ROUND(CPI!D134/$D$11,1)</f>
        <v>131</v>
      </c>
      <c r="E134" s="254">
        <f>ROUND(CPI!E134/$E$11,1)</f>
        <v>130.1</v>
      </c>
      <c r="F134" s="254">
        <f>ROUND(CPI!F134/$F$11,1)</f>
        <v>125.8</v>
      </c>
      <c r="G134" s="254">
        <f>ROUND(CPI!G134/$G$11,1)</f>
        <v>129.80000000000001</v>
      </c>
      <c r="H134" s="254">
        <f>ROUND(CPI!H134/$H$11,1)</f>
        <v>129</v>
      </c>
      <c r="I134" s="254">
        <f>ROUND(CPI!I134/$I$11,1)</f>
        <v>126.9</v>
      </c>
      <c r="J134" s="254">
        <f>ROUND(CPI!J134/$J$11,1)</f>
        <v>129.6</v>
      </c>
      <c r="K134" s="254">
        <f>ROUND(CPI!K134/$K$11,1)</f>
        <v>126.8</v>
      </c>
      <c r="L134" s="250">
        <f>ROUND(CPI!L134/$L$11,1)</f>
        <v>130.4</v>
      </c>
      <c r="M134" s="223"/>
      <c r="N134" s="306">
        <v>120.8</v>
      </c>
      <c r="O134" s="307">
        <v>130.6</v>
      </c>
      <c r="P134" s="308">
        <v>109</v>
      </c>
      <c r="Q134" s="361">
        <v>108.2</v>
      </c>
      <c r="R134" s="309">
        <v>131</v>
      </c>
      <c r="S134" s="307">
        <v>128.6</v>
      </c>
      <c r="T134" s="308">
        <v>119.6</v>
      </c>
      <c r="U134" s="366">
        <v>108.9</v>
      </c>
      <c r="V134" s="367">
        <v>107.6</v>
      </c>
      <c r="W134" s="220"/>
      <c r="X134" s="235"/>
    </row>
    <row r="135" spans="1:24" ht="18" customHeight="1" x14ac:dyDescent="0.25">
      <c r="A135" s="220"/>
      <c r="B135" s="205">
        <v>10</v>
      </c>
      <c r="C135" s="206">
        <v>2017</v>
      </c>
      <c r="D135" s="249">
        <f>ROUND(CPI!D135/$D$11,1)</f>
        <v>131.6</v>
      </c>
      <c r="E135" s="254">
        <f>ROUND(CPI!E135/$E$11,1)</f>
        <v>130.4</v>
      </c>
      <c r="F135" s="254">
        <f>ROUND(CPI!F135/$F$11,1)</f>
        <v>125.9</v>
      </c>
      <c r="G135" s="254">
        <f>ROUND(CPI!G135/$G$11,1)</f>
        <v>130</v>
      </c>
      <c r="H135" s="254">
        <f>ROUND(CPI!H135/$H$11,1)</f>
        <v>129.4</v>
      </c>
      <c r="I135" s="254">
        <f>ROUND(CPI!I135/$I$11,1)</f>
        <v>127.2</v>
      </c>
      <c r="J135" s="254">
        <f>ROUND(CPI!J135/$J$11,1)</f>
        <v>129.9</v>
      </c>
      <c r="K135" s="254">
        <f>ROUND(CPI!K135/$K$11,1)</f>
        <v>127</v>
      </c>
      <c r="L135" s="250">
        <f>ROUND(CPI!L135/$L$11,1)</f>
        <v>130.80000000000001</v>
      </c>
      <c r="M135" s="223"/>
      <c r="N135" s="306">
        <v>122</v>
      </c>
      <c r="O135" s="307">
        <v>131.9</v>
      </c>
      <c r="P135" s="308">
        <v>109.7</v>
      </c>
      <c r="Q135" s="361">
        <v>112.2</v>
      </c>
      <c r="R135" s="309">
        <v>131.80000000000001</v>
      </c>
      <c r="S135" s="307">
        <v>129.30000000000001</v>
      </c>
      <c r="T135" s="308">
        <v>120.3</v>
      </c>
      <c r="U135" s="366">
        <v>112.8</v>
      </c>
      <c r="V135" s="367">
        <v>111.6</v>
      </c>
      <c r="W135" s="220"/>
      <c r="X135" s="235"/>
    </row>
    <row r="136" spans="1:24" ht="18" customHeight="1" x14ac:dyDescent="0.25">
      <c r="A136" s="220"/>
      <c r="B136" s="205">
        <v>11</v>
      </c>
      <c r="C136" s="206">
        <v>2017</v>
      </c>
      <c r="D136" s="249">
        <f>ROUND(CPI!D136/$D$11,1)</f>
        <v>131.80000000000001</v>
      </c>
      <c r="E136" s="254">
        <f>ROUND(CPI!E136/$E$11,1)</f>
        <v>130.5</v>
      </c>
      <c r="F136" s="254">
        <f>ROUND(CPI!F136/$F$11,1)</f>
        <v>126.3</v>
      </c>
      <c r="G136" s="254">
        <f>ROUND(CPI!G136/$G$11,1)</f>
        <v>130.30000000000001</v>
      </c>
      <c r="H136" s="254">
        <f>ROUND(CPI!H136/$H$11,1)</f>
        <v>129.6</v>
      </c>
      <c r="I136" s="254">
        <f>ROUND(CPI!I136/$I$11,1)</f>
        <v>127.3</v>
      </c>
      <c r="J136" s="254">
        <f>ROUND(CPI!J136/$J$11,1)</f>
        <v>130.1</v>
      </c>
      <c r="K136" s="254">
        <f>ROUND(CPI!K136/$K$11,1)</f>
        <v>127.4</v>
      </c>
      <c r="L136" s="250">
        <f>ROUND(CPI!L136/$L$11,1)</f>
        <v>130.80000000000001</v>
      </c>
      <c r="M136" s="223"/>
      <c r="N136" s="306">
        <v>122.2</v>
      </c>
      <c r="O136" s="307">
        <v>131.9</v>
      </c>
      <c r="P136" s="308">
        <v>111.5</v>
      </c>
      <c r="Q136" s="361">
        <v>114.3</v>
      </c>
      <c r="R136" s="309">
        <v>132.69999999999999</v>
      </c>
      <c r="S136" s="307">
        <v>129.4</v>
      </c>
      <c r="T136" s="308">
        <v>121.4</v>
      </c>
      <c r="U136" s="366">
        <v>114.9</v>
      </c>
      <c r="V136" s="367">
        <v>113.7</v>
      </c>
      <c r="W136" s="220"/>
      <c r="X136" s="235"/>
    </row>
    <row r="137" spans="1:24" ht="18" customHeight="1" thickBot="1" x14ac:dyDescent="0.3">
      <c r="A137" s="220"/>
      <c r="B137" s="387">
        <v>12</v>
      </c>
      <c r="C137" s="388">
        <v>2017</v>
      </c>
      <c r="D137" s="249">
        <f>ROUND(CPI!D137/$D$11,1)</f>
        <v>132.30000000000001</v>
      </c>
      <c r="E137" s="254">
        <f>ROUND(CPI!E137/$E$11,1)</f>
        <v>131.5</v>
      </c>
      <c r="F137" s="254">
        <f>ROUND(CPI!F137/$F$11,1)</f>
        <v>126.6</v>
      </c>
      <c r="G137" s="254">
        <f>ROUND(CPI!G137/$G$11,1)</f>
        <v>130.6</v>
      </c>
      <c r="H137" s="254">
        <f>ROUND(CPI!H137/$H$11,1)</f>
        <v>130.1</v>
      </c>
      <c r="I137" s="254">
        <f>ROUND(CPI!I137/$I$11,1)</f>
        <v>127.7</v>
      </c>
      <c r="J137" s="254">
        <f>ROUND(CPI!J137/$J$11,1)</f>
        <v>130.69999999999999</v>
      </c>
      <c r="K137" s="254">
        <f>ROUND(CPI!K137/$K$11,1)</f>
        <v>128</v>
      </c>
      <c r="L137" s="250">
        <f>ROUND(CPI!L137/$L$11,1)</f>
        <v>131.69999999999999</v>
      </c>
      <c r="M137" s="223"/>
      <c r="N137" s="306">
        <v>122.5</v>
      </c>
      <c r="O137" s="307">
        <v>133.5</v>
      </c>
      <c r="P137" s="308">
        <v>116.5</v>
      </c>
      <c r="Q137" s="361">
        <v>120</v>
      </c>
      <c r="R137" s="309">
        <v>132.5</v>
      </c>
      <c r="S137" s="307">
        <v>129.4</v>
      </c>
      <c r="T137" s="308">
        <v>121.3</v>
      </c>
      <c r="U137" s="366">
        <v>120.6</v>
      </c>
      <c r="V137" s="367">
        <v>119.5</v>
      </c>
      <c r="W137" s="220"/>
      <c r="X137" s="235"/>
    </row>
    <row r="138" spans="1:24" ht="30" customHeight="1" x14ac:dyDescent="0.25">
      <c r="A138" s="220"/>
      <c r="B138" s="389"/>
      <c r="C138" s="216"/>
      <c r="D138" s="799" t="s">
        <v>138</v>
      </c>
      <c r="E138" s="868"/>
      <c r="F138" s="868"/>
      <c r="G138" s="868"/>
      <c r="H138" s="868"/>
      <c r="I138" s="868"/>
      <c r="J138" s="868"/>
      <c r="K138" s="868"/>
      <c r="L138" s="869"/>
      <c r="M138" s="223"/>
      <c r="N138" s="880" t="s">
        <v>118</v>
      </c>
      <c r="O138" s="881"/>
      <c r="P138" s="881"/>
      <c r="Q138" s="881"/>
      <c r="R138" s="881"/>
      <c r="S138" s="881"/>
      <c r="T138" s="881"/>
      <c r="U138" s="881"/>
      <c r="V138" s="882"/>
      <c r="W138" s="220"/>
      <c r="X138" s="235"/>
    </row>
    <row r="139" spans="1:24" ht="35.25" customHeight="1" thickBot="1" x14ac:dyDescent="0.3">
      <c r="A139" s="220"/>
      <c r="B139" s="387"/>
      <c r="C139" s="388"/>
      <c r="D139" s="883" t="s">
        <v>125</v>
      </c>
      <c r="E139" s="884"/>
      <c r="F139" s="884"/>
      <c r="G139" s="884"/>
      <c r="H139" s="884"/>
      <c r="I139" s="884"/>
      <c r="J139" s="884"/>
      <c r="K139" s="884"/>
      <c r="L139" s="885"/>
      <c r="M139" s="223"/>
      <c r="N139" s="886" t="s">
        <v>109</v>
      </c>
      <c r="O139" s="887"/>
      <c r="P139" s="887"/>
      <c r="Q139" s="887"/>
      <c r="R139" s="887"/>
      <c r="S139" s="887"/>
      <c r="T139" s="887"/>
      <c r="U139" s="887"/>
      <c r="V139" s="888"/>
      <c r="W139" s="220"/>
      <c r="X139" s="235"/>
    </row>
    <row r="140" spans="1:24" ht="7.5" customHeight="1" x14ac:dyDescent="0.25">
      <c r="A140" s="237"/>
      <c r="B140" s="238"/>
      <c r="C140" s="238"/>
      <c r="D140" s="238"/>
      <c r="E140" s="238"/>
      <c r="F140" s="238"/>
      <c r="G140" s="238"/>
      <c r="H140" s="238"/>
      <c r="I140" s="238"/>
      <c r="J140" s="238"/>
      <c r="K140" s="238"/>
      <c r="L140" s="238"/>
      <c r="M140" s="238"/>
      <c r="N140" s="238"/>
      <c r="O140" s="238"/>
      <c r="P140" s="238"/>
      <c r="Q140" s="238"/>
      <c r="R140" s="238"/>
      <c r="S140" s="238"/>
      <c r="T140" s="238"/>
      <c r="U140" s="238"/>
      <c r="V140" s="238"/>
      <c r="W140" s="239"/>
      <c r="X140" s="235"/>
    </row>
    <row r="141" spans="1:24" ht="15" hidden="1" customHeight="1" thickBot="1" x14ac:dyDescent="0.25">
      <c r="A141" s="220"/>
      <c r="B141" s="224"/>
      <c r="C141" s="224"/>
      <c r="D141" s="224"/>
      <c r="E141" s="224"/>
      <c r="F141" s="224"/>
      <c r="G141" s="224"/>
      <c r="H141" s="224"/>
      <c r="I141" s="224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</row>
    <row r="142" spans="1:24" s="199" customFormat="1" ht="15" hidden="1" customHeight="1" thickBot="1" x14ac:dyDescent="0.3">
      <c r="A142" s="225"/>
      <c r="B142" s="225"/>
      <c r="C142" s="225"/>
      <c r="D142" s="189">
        <v>0.79176563740000006</v>
      </c>
      <c r="E142" s="189">
        <v>0.78616352199999995</v>
      </c>
      <c r="F142" s="189">
        <v>0.77519379840000002</v>
      </c>
      <c r="G142" s="189">
        <v>0.77579519009999998</v>
      </c>
      <c r="H142" s="189">
        <v>0.8006405124</v>
      </c>
      <c r="I142" s="189">
        <v>0.77279752700000004</v>
      </c>
      <c r="J142" s="189">
        <v>0.78864353310000002</v>
      </c>
      <c r="K142" s="189">
        <v>0.78740157479999995</v>
      </c>
      <c r="L142" s="189">
        <v>0.79744816590000001</v>
      </c>
      <c r="M142" s="219"/>
      <c r="N142" s="198">
        <v>2.2719999999999998</v>
      </c>
      <c r="O142" s="195">
        <v>2.89</v>
      </c>
      <c r="P142" s="200">
        <v>3.22</v>
      </c>
      <c r="Q142" s="201">
        <v>4.149</v>
      </c>
      <c r="R142" s="198">
        <v>1.909</v>
      </c>
      <c r="S142" s="195">
        <v>2.1960000000000002</v>
      </c>
      <c r="T142" s="200">
        <v>1.992</v>
      </c>
      <c r="U142" s="198">
        <v>4.24</v>
      </c>
      <c r="V142" s="202">
        <v>4.2050000000000001</v>
      </c>
      <c r="W142" s="225"/>
    </row>
    <row r="143" spans="1:24" ht="15" hidden="1" customHeight="1" x14ac:dyDescent="0.25">
      <c r="A143" s="220"/>
      <c r="B143" s="220"/>
      <c r="C143" s="220"/>
      <c r="D143" s="220"/>
      <c r="E143" s="220"/>
      <c r="F143" s="220"/>
      <c r="G143" s="220"/>
      <c r="H143" s="220"/>
      <c r="I143" s="220"/>
      <c r="J143" s="220"/>
      <c r="K143" s="220"/>
      <c r="L143" s="220"/>
      <c r="M143" s="220"/>
      <c r="N143" s="220"/>
      <c r="O143" s="220"/>
      <c r="P143" s="220"/>
      <c r="Q143" s="220"/>
      <c r="R143" s="220"/>
      <c r="S143" s="220"/>
      <c r="T143" s="220"/>
      <c r="U143" s="220"/>
      <c r="V143" s="220"/>
      <c r="W143" s="220"/>
    </row>
    <row r="144" spans="1:24" ht="15" hidden="1" customHeight="1" x14ac:dyDescent="0.25"/>
    <row r="145" spans="4:22" ht="15" hidden="1" customHeight="1" x14ac:dyDescent="0.25">
      <c r="D145" s="354"/>
      <c r="E145" s="354"/>
      <c r="F145" s="354"/>
      <c r="G145" s="354"/>
      <c r="H145" s="354"/>
      <c r="I145" s="354"/>
      <c r="J145" s="354"/>
      <c r="K145" s="354"/>
      <c r="L145" s="354"/>
      <c r="N145" s="354"/>
      <c r="O145" s="354"/>
      <c r="P145" s="354"/>
      <c r="Q145" s="354"/>
      <c r="R145" s="354"/>
      <c r="S145" s="354"/>
      <c r="T145" s="354"/>
      <c r="U145" s="354"/>
      <c r="V145" s="354"/>
    </row>
    <row r="146" spans="4:22" ht="18" hidden="1" customHeight="1" x14ac:dyDescent="0.25">
      <c r="D146" s="354"/>
      <c r="E146" s="354"/>
      <c r="F146" s="354"/>
      <c r="G146" s="354"/>
      <c r="H146" s="354"/>
      <c r="I146" s="354"/>
      <c r="J146" s="354"/>
      <c r="K146" s="354"/>
      <c r="L146" s="354"/>
      <c r="N146" s="354"/>
      <c r="O146" s="354"/>
      <c r="P146" s="354"/>
      <c r="Q146" s="354"/>
      <c r="R146" s="354"/>
      <c r="S146" s="354"/>
      <c r="T146" s="354"/>
      <c r="U146" s="354"/>
      <c r="V146" s="354"/>
    </row>
    <row r="147" spans="4:22" ht="18" hidden="1" customHeight="1" x14ac:dyDescent="0.25">
      <c r="D147" s="354"/>
      <c r="E147" s="354"/>
      <c r="F147" s="354"/>
      <c r="G147" s="354"/>
      <c r="H147" s="354"/>
      <c r="I147" s="354"/>
      <c r="J147" s="354"/>
      <c r="K147" s="354"/>
      <c r="L147" s="354"/>
      <c r="N147" s="354"/>
      <c r="O147" s="354"/>
      <c r="P147" s="354"/>
      <c r="Q147" s="354"/>
      <c r="R147" s="354"/>
      <c r="S147" s="354"/>
      <c r="T147" s="354"/>
      <c r="U147" s="354"/>
      <c r="V147" s="354"/>
    </row>
    <row r="148" spans="4:22" ht="18" hidden="1" customHeight="1" x14ac:dyDescent="0.25">
      <c r="D148" s="354"/>
      <c r="E148" s="354"/>
      <c r="F148" s="354"/>
      <c r="G148" s="354"/>
      <c r="H148" s="354"/>
      <c r="I148" s="354"/>
      <c r="J148" s="354"/>
      <c r="K148" s="354"/>
      <c r="L148" s="354"/>
      <c r="N148" s="354"/>
      <c r="O148" s="354"/>
      <c r="P148" s="354"/>
      <c r="Q148" s="354"/>
      <c r="R148" s="354"/>
      <c r="S148" s="354"/>
      <c r="T148" s="354"/>
      <c r="U148" s="354"/>
      <c r="V148" s="354"/>
    </row>
    <row r="149" spans="4:22" ht="18" hidden="1" customHeight="1" x14ac:dyDescent="0.25">
      <c r="D149" s="354"/>
      <c r="E149" s="354"/>
      <c r="F149" s="354"/>
      <c r="G149" s="354"/>
      <c r="H149" s="354"/>
      <c r="I149" s="354"/>
      <c r="J149" s="354"/>
      <c r="K149" s="354"/>
      <c r="L149" s="354"/>
      <c r="N149" s="354"/>
      <c r="O149" s="354"/>
      <c r="P149" s="354"/>
      <c r="Q149" s="354"/>
      <c r="R149" s="354"/>
      <c r="S149" s="354"/>
      <c r="T149" s="354"/>
      <c r="U149" s="354"/>
      <c r="V149" s="354"/>
    </row>
    <row r="150" spans="4:22" ht="18" customHeight="1" x14ac:dyDescent="0.25">
      <c r="D150" s="354"/>
      <c r="E150" s="354"/>
      <c r="F150" s="354"/>
      <c r="G150" s="354"/>
      <c r="H150" s="354"/>
      <c r="I150" s="354"/>
      <c r="J150" s="354"/>
      <c r="K150" s="354"/>
      <c r="L150" s="354"/>
      <c r="N150" s="354"/>
      <c r="O150" s="354"/>
      <c r="P150" s="354"/>
      <c r="Q150" s="354"/>
      <c r="R150" s="354"/>
      <c r="S150" s="354"/>
      <c r="T150" s="354"/>
      <c r="U150" s="354"/>
      <c r="V150" s="354"/>
    </row>
    <row r="151" spans="4:22" ht="18" customHeight="1" x14ac:dyDescent="0.25">
      <c r="D151" s="354" t="s">
        <v>147</v>
      </c>
      <c r="E151" s="354"/>
      <c r="F151" s="354"/>
      <c r="G151" s="354"/>
      <c r="H151" s="354"/>
      <c r="I151" s="354"/>
      <c r="J151" s="354"/>
      <c r="K151" s="354"/>
      <c r="L151" s="354"/>
      <c r="N151" s="354"/>
      <c r="O151" s="354"/>
      <c r="P151" s="354"/>
      <c r="Q151" s="354"/>
      <c r="R151" s="354"/>
      <c r="S151" s="354"/>
      <c r="T151" s="354"/>
      <c r="U151" s="354"/>
      <c r="V151" s="354"/>
    </row>
    <row r="152" spans="4:22" ht="18" customHeight="1" x14ac:dyDescent="0.25">
      <c r="D152" s="354"/>
      <c r="E152" s="354"/>
      <c r="F152" s="354"/>
      <c r="G152" s="354"/>
      <c r="H152" s="354"/>
      <c r="I152" s="354"/>
      <c r="J152" s="354"/>
      <c r="K152" s="354"/>
      <c r="L152" s="354"/>
      <c r="M152" s="354"/>
      <c r="N152" s="354"/>
      <c r="O152" s="354"/>
      <c r="P152" s="354"/>
      <c r="Q152" s="354"/>
      <c r="R152" s="354"/>
      <c r="S152" s="354"/>
      <c r="T152" s="354"/>
      <c r="U152" s="354"/>
      <c r="V152" s="354"/>
    </row>
    <row r="153" spans="4:22" ht="18" customHeight="1" x14ac:dyDescent="0.25">
      <c r="D153" s="354"/>
      <c r="E153" s="354"/>
      <c r="F153" s="354"/>
      <c r="G153" s="354"/>
      <c r="H153" s="354"/>
      <c r="I153" s="354"/>
      <c r="J153" s="354"/>
      <c r="K153" s="354"/>
      <c r="L153" s="354"/>
      <c r="M153" s="354"/>
      <c r="N153" s="354"/>
      <c r="O153" s="354"/>
      <c r="P153" s="354"/>
      <c r="Q153" s="354"/>
      <c r="R153" s="354"/>
      <c r="S153" s="354"/>
      <c r="T153" s="354"/>
      <c r="U153" s="354"/>
      <c r="V153" s="354"/>
    </row>
    <row r="154" spans="4:22" ht="18" customHeight="1" x14ac:dyDescent="0.25">
      <c r="D154" s="354"/>
      <c r="E154" s="354"/>
      <c r="F154" s="354"/>
      <c r="G154" s="354"/>
      <c r="H154" s="354"/>
      <c r="I154" s="354"/>
      <c r="J154" s="354"/>
      <c r="K154" s="354"/>
      <c r="L154" s="354"/>
    </row>
    <row r="155" spans="4:22" ht="18" customHeight="1" x14ac:dyDescent="0.25">
      <c r="D155" s="354"/>
      <c r="E155" s="354"/>
      <c r="F155" s="354"/>
      <c r="G155" s="354"/>
      <c r="H155" s="354"/>
      <c r="I155" s="354"/>
      <c r="J155" s="354"/>
      <c r="K155" s="354"/>
      <c r="L155" s="354"/>
    </row>
    <row r="156" spans="4:22" ht="18" customHeight="1" x14ac:dyDescent="0.25">
      <c r="D156" s="354"/>
      <c r="E156" s="354"/>
      <c r="F156" s="354"/>
      <c r="G156" s="354"/>
      <c r="H156" s="354"/>
      <c r="I156" s="354"/>
      <c r="J156" s="354"/>
      <c r="K156" s="354"/>
      <c r="L156" s="354"/>
    </row>
    <row r="157" spans="4:22" ht="18" customHeight="1" x14ac:dyDescent="0.25">
      <c r="D157" s="354"/>
    </row>
    <row r="158" spans="4:22" ht="18" customHeight="1" x14ac:dyDescent="0.25">
      <c r="D158" s="354"/>
      <c r="E158" s="354"/>
      <c r="F158" s="354"/>
      <c r="G158" s="354"/>
      <c r="H158" s="354"/>
      <c r="I158" s="354"/>
      <c r="J158" s="354"/>
      <c r="K158" s="354"/>
      <c r="L158" s="354"/>
    </row>
  </sheetData>
  <mergeCells count="36">
    <mergeCell ref="N138:V138"/>
    <mergeCell ref="D139:L139"/>
    <mergeCell ref="N139:V139"/>
    <mergeCell ref="D124:L124"/>
    <mergeCell ref="N124:V124"/>
    <mergeCell ref="D125:L125"/>
    <mergeCell ref="N125:V125"/>
    <mergeCell ref="B124:C125"/>
    <mergeCell ref="D138:L138"/>
    <mergeCell ref="B14:B15"/>
    <mergeCell ref="C14:C15"/>
    <mergeCell ref="D14:D15"/>
    <mergeCell ref="E14:E15"/>
    <mergeCell ref="G14:G15"/>
    <mergeCell ref="H14:H15"/>
    <mergeCell ref="J14:J15"/>
    <mergeCell ref="I14:I15"/>
    <mergeCell ref="L14:L15"/>
    <mergeCell ref="K14:K15"/>
    <mergeCell ref="F14:F15"/>
    <mergeCell ref="S4:V5"/>
    <mergeCell ref="B7:C7"/>
    <mergeCell ref="B13:C13"/>
    <mergeCell ref="O13:V13"/>
    <mergeCell ref="H4:L5"/>
    <mergeCell ref="B9:B11"/>
    <mergeCell ref="X75:X76"/>
    <mergeCell ref="Y125:Z126"/>
    <mergeCell ref="U14:V14"/>
    <mergeCell ref="N14:N15"/>
    <mergeCell ref="O14:O15"/>
    <mergeCell ref="S14:S15"/>
    <mergeCell ref="T14:T15"/>
    <mergeCell ref="P14:P15"/>
    <mergeCell ref="Q14:Q15"/>
    <mergeCell ref="R14:R1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144"/>
  <sheetViews>
    <sheetView zoomScaleNormal="100" workbookViewId="0">
      <pane xSplit="3" ySplit="15" topLeftCell="D123" activePane="bottomRight" state="frozen"/>
      <selection pane="topRight" activeCell="D1" sqref="D1"/>
      <selection pane="bottomLeft" activeCell="A14" sqref="A14"/>
      <selection pane="bottomRight" activeCell="B136" sqref="B136"/>
    </sheetView>
  </sheetViews>
  <sheetFormatPr defaultColWidth="9.140625" defaultRowHeight="18" customHeight="1" x14ac:dyDescent="0.25"/>
  <cols>
    <col min="1" max="1" width="1.28515625" style="180" customWidth="1"/>
    <col min="2" max="2" width="8.85546875" style="180" customWidth="1"/>
    <col min="3" max="3" width="8.7109375" style="180" customWidth="1"/>
    <col min="4" max="17" width="13.7109375" style="180" customWidth="1"/>
    <col min="18" max="18" width="1.28515625" style="180" customWidth="1"/>
    <col min="19" max="27" width="15.5703125" style="180" customWidth="1"/>
    <col min="28" max="28" width="1.28515625" style="180" customWidth="1"/>
    <col min="29" max="29" width="18" style="180" customWidth="1"/>
    <col min="30" max="16384" width="9.140625" style="180"/>
  </cols>
  <sheetData>
    <row r="1" spans="1:30" ht="7.5" customHeight="1" x14ac:dyDescent="0.25">
      <c r="A1" s="220"/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35"/>
    </row>
    <row r="2" spans="1:30" ht="18" customHeight="1" x14ac:dyDescent="0.25">
      <c r="A2" s="220"/>
      <c r="B2" s="220"/>
      <c r="C2" s="220"/>
      <c r="D2" s="227" t="s">
        <v>144</v>
      </c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35"/>
    </row>
    <row r="3" spans="1:30" ht="6" customHeight="1" thickBot="1" x14ac:dyDescent="0.3">
      <c r="A3" s="220"/>
      <c r="B3" s="220"/>
      <c r="C3" s="220"/>
      <c r="D3" s="227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35"/>
    </row>
    <row r="4" spans="1:30" ht="18" customHeight="1" x14ac:dyDescent="0.25">
      <c r="A4" s="220"/>
      <c r="B4" s="220"/>
      <c r="C4" s="220"/>
      <c r="D4" s="229" t="s">
        <v>69</v>
      </c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2"/>
      <c r="R4" s="220"/>
      <c r="S4" s="229" t="s">
        <v>71</v>
      </c>
      <c r="T4" s="230"/>
      <c r="U4" s="231"/>
      <c r="V4" s="231"/>
      <c r="W4" s="358"/>
      <c r="X4" s="851" t="s">
        <v>113</v>
      </c>
      <c r="Y4" s="852"/>
      <c r="Z4" s="852"/>
      <c r="AA4" s="853"/>
      <c r="AB4" s="220"/>
      <c r="AC4" s="235"/>
    </row>
    <row r="5" spans="1:30" ht="18" customHeight="1" thickBot="1" x14ac:dyDescent="0.3">
      <c r="A5" s="220"/>
      <c r="B5" s="220"/>
      <c r="C5" s="220"/>
      <c r="D5" s="233" t="s">
        <v>70</v>
      </c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34"/>
      <c r="R5" s="220"/>
      <c r="S5" s="233" t="s">
        <v>52</v>
      </c>
      <c r="T5" s="220"/>
      <c r="U5" s="227"/>
      <c r="V5" s="227"/>
      <c r="W5" s="359"/>
      <c r="X5" s="854"/>
      <c r="Y5" s="855"/>
      <c r="Z5" s="855"/>
      <c r="AA5" s="856"/>
      <c r="AB5" s="220"/>
      <c r="AC5" s="235"/>
    </row>
    <row r="6" spans="1:30" ht="6" hidden="1" customHeight="1" thickBot="1" x14ac:dyDescent="0.3">
      <c r="A6" s="220"/>
      <c r="B6" s="220"/>
      <c r="C6" s="220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0"/>
      <c r="S6" s="228"/>
      <c r="T6" s="228"/>
      <c r="U6" s="228"/>
      <c r="V6" s="228"/>
      <c r="W6" s="228"/>
      <c r="X6" s="228"/>
      <c r="Y6" s="228"/>
      <c r="Z6" s="228"/>
      <c r="AA6" s="228"/>
      <c r="AB6" s="220"/>
      <c r="AC6" s="235"/>
    </row>
    <row r="7" spans="1:30" s="179" customFormat="1" ht="28.5" hidden="1" customHeight="1" thickBot="1" x14ac:dyDescent="0.3">
      <c r="A7" s="224"/>
      <c r="B7" s="857" t="s">
        <v>66</v>
      </c>
      <c r="C7" s="857"/>
      <c r="D7" s="189">
        <v>0.79176563740000006</v>
      </c>
      <c r="E7" s="190">
        <v>0.78616352199999995</v>
      </c>
      <c r="F7" s="191">
        <v>0.78802206460000002</v>
      </c>
      <c r="G7" s="189">
        <v>0.77519379840000002</v>
      </c>
      <c r="H7" s="189">
        <v>0.77579519009999998</v>
      </c>
      <c r="I7" s="190">
        <v>0.8006405124</v>
      </c>
      <c r="J7" s="330">
        <v>0.78554595439999997</v>
      </c>
      <c r="K7" s="331">
        <v>0.79491255959999996</v>
      </c>
      <c r="L7" s="189">
        <v>0.77279752700000004</v>
      </c>
      <c r="M7" s="192">
        <v>0.78864353310000002</v>
      </c>
      <c r="N7" s="193">
        <v>0.80385852089999998</v>
      </c>
      <c r="O7" s="191">
        <v>0.78247261349999997</v>
      </c>
      <c r="P7" s="189">
        <v>0.78740157479999995</v>
      </c>
      <c r="Q7" s="189">
        <v>0.79744816590000001</v>
      </c>
      <c r="R7" s="221"/>
      <c r="S7" s="194">
        <v>2.2719999999999998</v>
      </c>
      <c r="T7" s="195">
        <v>2.89</v>
      </c>
      <c r="U7" s="195">
        <v>3.22</v>
      </c>
      <c r="V7" s="196">
        <v>4.149</v>
      </c>
      <c r="W7" s="196">
        <v>1.909</v>
      </c>
      <c r="X7" s="196">
        <v>2.1960000000000002</v>
      </c>
      <c r="Y7" s="197">
        <v>1.992</v>
      </c>
      <c r="Z7" s="198">
        <v>4.24</v>
      </c>
      <c r="AA7" s="197">
        <v>4.2050000000000001</v>
      </c>
      <c r="AB7" s="226"/>
      <c r="AC7" s="236"/>
      <c r="AD7" s="178"/>
    </row>
    <row r="8" spans="1:30" ht="6" customHeight="1" thickBot="1" x14ac:dyDescent="0.3">
      <c r="A8" s="220"/>
      <c r="B8" s="220"/>
      <c r="C8" s="220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220"/>
      <c r="S8" s="185"/>
      <c r="T8" s="185"/>
      <c r="U8" s="185"/>
      <c r="V8" s="185"/>
      <c r="W8" s="185"/>
      <c r="X8" s="185"/>
      <c r="Y8" s="185"/>
      <c r="Z8" s="185"/>
      <c r="AA8" s="185"/>
      <c r="AB8" s="220"/>
      <c r="AC8" s="235"/>
    </row>
    <row r="9" spans="1:30" ht="18" customHeight="1" thickBot="1" x14ac:dyDescent="0.3">
      <c r="A9" s="220"/>
      <c r="B9" s="220"/>
      <c r="C9" s="220"/>
      <c r="D9" s="184" t="s">
        <v>94</v>
      </c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3"/>
      <c r="R9" s="222"/>
      <c r="S9" s="184" t="s">
        <v>94</v>
      </c>
      <c r="T9" s="182"/>
      <c r="U9" s="182"/>
      <c r="V9" s="181"/>
      <c r="W9" s="181"/>
      <c r="X9" s="181"/>
      <c r="Y9" s="181"/>
      <c r="Z9" s="181"/>
      <c r="AA9" s="183"/>
      <c r="AB9" s="220"/>
      <c r="AC9" s="235"/>
    </row>
    <row r="10" spans="1:30" ht="6" customHeight="1" thickBot="1" x14ac:dyDescent="0.3">
      <c r="A10" s="220"/>
      <c r="B10" s="220"/>
      <c r="C10" s="22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20"/>
      <c r="S10" s="230"/>
      <c r="T10" s="230"/>
      <c r="U10" s="230"/>
      <c r="V10" s="230"/>
      <c r="W10" s="230"/>
      <c r="X10" s="230"/>
      <c r="Y10" s="230"/>
      <c r="Z10" s="230"/>
      <c r="AA10" s="230"/>
      <c r="AB10" s="220"/>
      <c r="AC10" s="235"/>
    </row>
    <row r="11" spans="1:30" ht="18" hidden="1" customHeight="1" x14ac:dyDescent="0.25">
      <c r="A11" s="220"/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2"/>
      <c r="S11" s="409"/>
      <c r="T11" s="410"/>
      <c r="U11" s="410"/>
      <c r="V11" s="222"/>
      <c r="W11" s="222"/>
      <c r="X11" s="222"/>
      <c r="Y11" s="222"/>
      <c r="Z11" s="222"/>
      <c r="AA11" s="222"/>
      <c r="AB11" s="220"/>
      <c r="AC11" s="235"/>
    </row>
    <row r="12" spans="1:30" ht="6" hidden="1" customHeight="1" thickBot="1" x14ac:dyDescent="0.3">
      <c r="A12" s="220"/>
      <c r="B12" s="220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408"/>
      <c r="T12" s="408"/>
      <c r="U12" s="408"/>
      <c r="V12" s="408"/>
      <c r="W12" s="408"/>
      <c r="X12" s="408"/>
      <c r="Y12" s="408"/>
      <c r="Z12" s="408"/>
      <c r="AA12" s="408"/>
      <c r="AB12" s="220"/>
      <c r="AC12" s="235"/>
    </row>
    <row r="13" spans="1:30" ht="18" customHeight="1" thickBot="1" x14ac:dyDescent="0.3">
      <c r="A13" s="220"/>
      <c r="B13" s="858" t="s">
        <v>75</v>
      </c>
      <c r="C13" s="859"/>
      <c r="D13" s="188" t="s">
        <v>8</v>
      </c>
      <c r="E13" s="901" t="s">
        <v>67</v>
      </c>
      <c r="F13" s="902"/>
      <c r="G13" s="186" t="s">
        <v>9</v>
      </c>
      <c r="H13" s="188" t="s">
        <v>58</v>
      </c>
      <c r="I13" s="901" t="s">
        <v>68</v>
      </c>
      <c r="J13" s="903"/>
      <c r="K13" s="902"/>
      <c r="L13" s="188" t="s">
        <v>24</v>
      </c>
      <c r="M13" s="901" t="s">
        <v>11</v>
      </c>
      <c r="N13" s="903"/>
      <c r="O13" s="902"/>
      <c r="P13" s="188" t="s">
        <v>12</v>
      </c>
      <c r="Q13" s="187" t="s">
        <v>13</v>
      </c>
      <c r="R13" s="213"/>
      <c r="S13" s="214" t="s">
        <v>50</v>
      </c>
      <c r="T13" s="860" t="s">
        <v>51</v>
      </c>
      <c r="U13" s="861"/>
      <c r="V13" s="861"/>
      <c r="W13" s="861"/>
      <c r="X13" s="861"/>
      <c r="Y13" s="861"/>
      <c r="Z13" s="861"/>
      <c r="AA13" s="862"/>
      <c r="AB13" s="220"/>
      <c r="AC13" s="235"/>
    </row>
    <row r="14" spans="1:30" ht="18" customHeight="1" thickBot="1" x14ac:dyDescent="0.3">
      <c r="A14" s="220"/>
      <c r="B14" s="870" t="s">
        <v>72</v>
      </c>
      <c r="C14" s="872" t="s">
        <v>73</v>
      </c>
      <c r="D14" s="897" t="s">
        <v>76</v>
      </c>
      <c r="E14" s="899" t="s">
        <v>78</v>
      </c>
      <c r="F14" s="906" t="s">
        <v>79</v>
      </c>
      <c r="G14" s="904" t="s">
        <v>10</v>
      </c>
      <c r="H14" s="897" t="s">
        <v>80</v>
      </c>
      <c r="I14" s="899" t="s">
        <v>81</v>
      </c>
      <c r="J14" s="895" t="s">
        <v>82</v>
      </c>
      <c r="K14" s="906" t="s">
        <v>97</v>
      </c>
      <c r="L14" s="897" t="s">
        <v>83</v>
      </c>
      <c r="M14" s="899" t="s">
        <v>84</v>
      </c>
      <c r="N14" s="908" t="s">
        <v>85</v>
      </c>
      <c r="O14" s="910" t="s">
        <v>15</v>
      </c>
      <c r="P14" s="897" t="s">
        <v>86</v>
      </c>
      <c r="Q14" s="904" t="s">
        <v>3</v>
      </c>
      <c r="R14" s="212"/>
      <c r="S14" s="837" t="s">
        <v>87</v>
      </c>
      <c r="T14" s="839" t="s">
        <v>88</v>
      </c>
      <c r="U14" s="845" t="s">
        <v>89</v>
      </c>
      <c r="V14" s="847" t="s">
        <v>114</v>
      </c>
      <c r="W14" s="849" t="s">
        <v>91</v>
      </c>
      <c r="X14" s="841" t="s">
        <v>92</v>
      </c>
      <c r="Y14" s="843" t="s">
        <v>93</v>
      </c>
      <c r="Z14" s="835" t="s">
        <v>115</v>
      </c>
      <c r="AA14" s="836"/>
      <c r="AB14" s="220"/>
      <c r="AC14" s="235"/>
    </row>
    <row r="15" spans="1:30" ht="18" customHeight="1" thickBot="1" x14ac:dyDescent="0.3">
      <c r="A15" s="220"/>
      <c r="B15" s="871"/>
      <c r="C15" s="873"/>
      <c r="D15" s="898"/>
      <c r="E15" s="900"/>
      <c r="F15" s="907"/>
      <c r="G15" s="905"/>
      <c r="H15" s="898"/>
      <c r="I15" s="900"/>
      <c r="J15" s="896"/>
      <c r="K15" s="907"/>
      <c r="L15" s="898"/>
      <c r="M15" s="900"/>
      <c r="N15" s="909"/>
      <c r="O15" s="911"/>
      <c r="P15" s="898"/>
      <c r="Q15" s="905"/>
      <c r="R15" s="212"/>
      <c r="S15" s="838"/>
      <c r="T15" s="840"/>
      <c r="U15" s="846"/>
      <c r="V15" s="848"/>
      <c r="W15" s="850"/>
      <c r="X15" s="842"/>
      <c r="Y15" s="844"/>
      <c r="Z15" s="384" t="s">
        <v>116</v>
      </c>
      <c r="AA15" s="385" t="s">
        <v>117</v>
      </c>
      <c r="AB15" s="220"/>
      <c r="AC15" s="235"/>
    </row>
    <row r="16" spans="1:30" ht="18" customHeight="1" x14ac:dyDescent="0.25">
      <c r="A16" s="220"/>
      <c r="B16" s="215">
        <v>1</v>
      </c>
      <c r="C16" s="216">
        <v>2008</v>
      </c>
      <c r="D16" s="240">
        <v>75.599999999999994</v>
      </c>
      <c r="E16" s="241">
        <v>75.099999999999994</v>
      </c>
      <c r="F16" s="242">
        <v>74.8</v>
      </c>
      <c r="G16" s="243">
        <v>73.599999999999994</v>
      </c>
      <c r="H16" s="240">
        <v>74.099999999999994</v>
      </c>
      <c r="I16" s="244">
        <v>76.099999999999994</v>
      </c>
      <c r="J16" s="245">
        <v>75</v>
      </c>
      <c r="K16" s="242">
        <v>75.8</v>
      </c>
      <c r="L16" s="240">
        <v>73.3</v>
      </c>
      <c r="M16" s="244">
        <v>75.2</v>
      </c>
      <c r="N16" s="246">
        <v>76.5</v>
      </c>
      <c r="O16" s="247">
        <v>74.8</v>
      </c>
      <c r="P16" s="240">
        <v>75.2</v>
      </c>
      <c r="Q16" s="247">
        <v>76.400000000000006</v>
      </c>
      <c r="R16" s="223"/>
      <c r="S16" s="272">
        <f>184.1/S128</f>
        <v>81.029929577464799</v>
      </c>
      <c r="T16" s="273"/>
      <c r="U16" s="274"/>
      <c r="V16" s="360">
        <v>73.900000000000006</v>
      </c>
      <c r="W16" s="276">
        <f>153.7/W128</f>
        <v>80.513357778941852</v>
      </c>
      <c r="X16" s="277"/>
      <c r="Y16" s="278"/>
      <c r="Z16" s="379">
        <v>68.599999999999994</v>
      </c>
      <c r="AA16" s="380">
        <v>67.7</v>
      </c>
      <c r="AB16" s="220"/>
      <c r="AC16" s="235"/>
    </row>
    <row r="17" spans="1:29" ht="18" customHeight="1" x14ac:dyDescent="0.25">
      <c r="A17" s="220"/>
      <c r="B17" s="210">
        <v>2</v>
      </c>
      <c r="C17" s="206">
        <v>2008</v>
      </c>
      <c r="D17" s="248">
        <v>76</v>
      </c>
      <c r="E17" s="249">
        <v>75.5</v>
      </c>
      <c r="F17" s="250">
        <v>75.099999999999994</v>
      </c>
      <c r="G17" s="251">
        <v>73.900000000000006</v>
      </c>
      <c r="H17" s="248">
        <v>74.599999999999994</v>
      </c>
      <c r="I17" s="252">
        <v>76.5</v>
      </c>
      <c r="J17" s="253">
        <v>75.599999999999994</v>
      </c>
      <c r="K17" s="250">
        <v>76.2</v>
      </c>
      <c r="L17" s="248">
        <v>74</v>
      </c>
      <c r="M17" s="252">
        <v>75.8</v>
      </c>
      <c r="N17" s="254">
        <v>77.099999999999994</v>
      </c>
      <c r="O17" s="255">
        <v>75.3</v>
      </c>
      <c r="P17" s="248">
        <v>75.7</v>
      </c>
      <c r="Q17" s="255">
        <v>77.099999999999994</v>
      </c>
      <c r="R17" s="223"/>
      <c r="S17" s="281">
        <f>186.8/S128</f>
        <v>82.218309859154942</v>
      </c>
      <c r="T17" s="282"/>
      <c r="U17" s="283"/>
      <c r="V17" s="361">
        <v>78.099999999999994</v>
      </c>
      <c r="W17" s="285">
        <f>161.4/W128</f>
        <v>84.546883184913568</v>
      </c>
      <c r="X17" s="286"/>
      <c r="Y17" s="287"/>
      <c r="Z17" s="373">
        <v>69.3</v>
      </c>
      <c r="AA17" s="374">
        <v>68.400000000000006</v>
      </c>
      <c r="AB17" s="220"/>
      <c r="AC17" s="235"/>
    </row>
    <row r="18" spans="1:29" ht="18" customHeight="1" x14ac:dyDescent="0.25">
      <c r="A18" s="220"/>
      <c r="B18" s="210">
        <v>3</v>
      </c>
      <c r="C18" s="206">
        <v>2008</v>
      </c>
      <c r="D18" s="248">
        <v>77.2</v>
      </c>
      <c r="E18" s="249">
        <v>76.5</v>
      </c>
      <c r="F18" s="250">
        <v>76.3</v>
      </c>
      <c r="G18" s="251">
        <v>74.7</v>
      </c>
      <c r="H18" s="248">
        <v>75.7</v>
      </c>
      <c r="I18" s="252">
        <v>77.3</v>
      </c>
      <c r="J18" s="253">
        <v>76.400000000000006</v>
      </c>
      <c r="K18" s="250">
        <v>76.900000000000006</v>
      </c>
      <c r="L18" s="248">
        <v>75.2</v>
      </c>
      <c r="M18" s="252">
        <v>77.099999999999994</v>
      </c>
      <c r="N18" s="254">
        <v>78.5</v>
      </c>
      <c r="O18" s="255">
        <v>76.400000000000006</v>
      </c>
      <c r="P18" s="248">
        <v>76.5</v>
      </c>
      <c r="Q18" s="255">
        <v>78</v>
      </c>
      <c r="R18" s="223"/>
      <c r="S18" s="281">
        <f>187.8/S128</f>
        <v>82.658450704225359</v>
      </c>
      <c r="T18" s="286"/>
      <c r="U18" s="290"/>
      <c r="V18" s="361">
        <v>89.3</v>
      </c>
      <c r="W18" s="285">
        <f>161.4/W128</f>
        <v>84.546883184913568</v>
      </c>
      <c r="X18" s="286"/>
      <c r="Y18" s="287"/>
      <c r="Z18" s="373">
        <v>76.599999999999994</v>
      </c>
      <c r="AA18" s="374">
        <v>75.8</v>
      </c>
      <c r="AB18" s="220"/>
      <c r="AC18" s="235"/>
    </row>
    <row r="19" spans="1:29" ht="18" customHeight="1" x14ac:dyDescent="0.25">
      <c r="A19" s="220"/>
      <c r="B19" s="210">
        <v>4</v>
      </c>
      <c r="C19" s="206">
        <v>2008</v>
      </c>
      <c r="D19" s="248">
        <v>77.8</v>
      </c>
      <c r="E19" s="249">
        <v>77</v>
      </c>
      <c r="F19" s="250">
        <v>77</v>
      </c>
      <c r="G19" s="251">
        <v>75.599999999999994</v>
      </c>
      <c r="H19" s="248">
        <v>76.2</v>
      </c>
      <c r="I19" s="252">
        <v>78.099999999999994</v>
      </c>
      <c r="J19" s="253">
        <v>77</v>
      </c>
      <c r="K19" s="250">
        <v>77.599999999999994</v>
      </c>
      <c r="L19" s="248">
        <v>75.7</v>
      </c>
      <c r="M19" s="252">
        <v>77.5</v>
      </c>
      <c r="N19" s="254">
        <v>78.900000000000006</v>
      </c>
      <c r="O19" s="255">
        <v>76.8</v>
      </c>
      <c r="P19" s="248">
        <v>77.099999999999994</v>
      </c>
      <c r="Q19" s="255">
        <v>78.400000000000006</v>
      </c>
      <c r="R19" s="223"/>
      <c r="S19" s="281">
        <f>191/S128</f>
        <v>84.066901408450718</v>
      </c>
      <c r="T19" s="286"/>
      <c r="U19" s="290"/>
      <c r="V19" s="361">
        <v>103.2</v>
      </c>
      <c r="W19" s="285">
        <f>161.4/W128</f>
        <v>84.546883184913568</v>
      </c>
      <c r="X19" s="286"/>
      <c r="Y19" s="287"/>
      <c r="Z19" s="373">
        <v>88.9</v>
      </c>
      <c r="AA19" s="374">
        <v>88</v>
      </c>
      <c r="AB19" s="220"/>
      <c r="AC19" s="235"/>
    </row>
    <row r="20" spans="1:29" ht="18" customHeight="1" x14ac:dyDescent="0.25">
      <c r="A20" s="220"/>
      <c r="B20" s="210">
        <v>5</v>
      </c>
      <c r="C20" s="206">
        <v>2008</v>
      </c>
      <c r="D20" s="248">
        <v>78.2</v>
      </c>
      <c r="E20" s="249">
        <v>77.599999999999994</v>
      </c>
      <c r="F20" s="250">
        <v>77.599999999999994</v>
      </c>
      <c r="G20" s="251">
        <v>76</v>
      </c>
      <c r="H20" s="248">
        <v>76.7</v>
      </c>
      <c r="I20" s="252">
        <v>78.7</v>
      </c>
      <c r="J20" s="253">
        <v>77.5</v>
      </c>
      <c r="K20" s="250">
        <v>78.099999999999994</v>
      </c>
      <c r="L20" s="248">
        <v>76.2</v>
      </c>
      <c r="M20" s="252">
        <v>78</v>
      </c>
      <c r="N20" s="254">
        <v>79.3</v>
      </c>
      <c r="O20" s="255">
        <v>77.5</v>
      </c>
      <c r="P20" s="248">
        <v>77.5</v>
      </c>
      <c r="Q20" s="255">
        <v>79.099999999999994</v>
      </c>
      <c r="R20" s="223"/>
      <c r="S20" s="281">
        <f>199/S128</f>
        <v>87.588028169014095</v>
      </c>
      <c r="T20" s="286"/>
      <c r="U20" s="290"/>
      <c r="V20" s="361">
        <v>114.4</v>
      </c>
      <c r="W20" s="285">
        <f>168.3/W128</f>
        <v>88.161341016238879</v>
      </c>
      <c r="X20" s="286"/>
      <c r="Y20" s="287"/>
      <c r="Z20" s="373">
        <v>95.4</v>
      </c>
      <c r="AA20" s="374">
        <v>94.7</v>
      </c>
      <c r="AB20" s="220"/>
      <c r="AC20" s="235"/>
    </row>
    <row r="21" spans="1:29" ht="18" customHeight="1" x14ac:dyDescent="0.25">
      <c r="A21" s="220"/>
      <c r="B21" s="210">
        <v>6</v>
      </c>
      <c r="C21" s="206">
        <v>2008</v>
      </c>
      <c r="D21" s="248">
        <v>79</v>
      </c>
      <c r="E21" s="249">
        <v>78.5</v>
      </c>
      <c r="F21" s="250">
        <v>79</v>
      </c>
      <c r="G21" s="251">
        <v>77.099999999999994</v>
      </c>
      <c r="H21" s="248">
        <v>77.400000000000006</v>
      </c>
      <c r="I21" s="252">
        <v>80.099999999999994</v>
      </c>
      <c r="J21" s="253">
        <v>78.599999999999994</v>
      </c>
      <c r="K21" s="250">
        <v>79.5</v>
      </c>
      <c r="L21" s="248">
        <v>77.3</v>
      </c>
      <c r="M21" s="252">
        <v>78.900000000000006</v>
      </c>
      <c r="N21" s="254">
        <v>80.7</v>
      </c>
      <c r="O21" s="255">
        <v>78.599999999999994</v>
      </c>
      <c r="P21" s="248">
        <v>78.7</v>
      </c>
      <c r="Q21" s="255">
        <v>79.900000000000006</v>
      </c>
      <c r="R21" s="223"/>
      <c r="S21" s="281">
        <f>201.8/S128</f>
        <v>88.820422535211279</v>
      </c>
      <c r="T21" s="282"/>
      <c r="U21" s="290"/>
      <c r="V21" s="361">
        <v>126.3</v>
      </c>
      <c r="W21" s="285">
        <f>168.3/W128</f>
        <v>88.161341016238879</v>
      </c>
      <c r="X21" s="286"/>
      <c r="Y21" s="287"/>
      <c r="Z21" s="373">
        <v>102.2</v>
      </c>
      <c r="AA21" s="374">
        <v>101.5</v>
      </c>
      <c r="AB21" s="220"/>
      <c r="AC21" s="235"/>
    </row>
    <row r="22" spans="1:29" ht="18" customHeight="1" x14ac:dyDescent="0.25">
      <c r="A22" s="220"/>
      <c r="B22" s="210">
        <v>7</v>
      </c>
      <c r="C22" s="206">
        <v>2008</v>
      </c>
      <c r="D22" s="248">
        <v>80.099999999999994</v>
      </c>
      <c r="E22" s="249">
        <v>79.599999999999994</v>
      </c>
      <c r="F22" s="250">
        <v>80.099999999999994</v>
      </c>
      <c r="G22" s="251">
        <v>78.8</v>
      </c>
      <c r="H22" s="248">
        <v>78.400000000000006</v>
      </c>
      <c r="I22" s="252">
        <v>81.599999999999994</v>
      </c>
      <c r="J22" s="253">
        <v>79.5</v>
      </c>
      <c r="K22" s="250">
        <v>80.900000000000006</v>
      </c>
      <c r="L22" s="248">
        <v>78.2</v>
      </c>
      <c r="M22" s="252">
        <v>79.900000000000006</v>
      </c>
      <c r="N22" s="254">
        <v>81.599999999999994</v>
      </c>
      <c r="O22" s="255">
        <v>79.8</v>
      </c>
      <c r="P22" s="248">
        <v>79.8</v>
      </c>
      <c r="Q22" s="255">
        <v>80.900000000000006</v>
      </c>
      <c r="R22" s="223"/>
      <c r="S22" s="281">
        <f>203.9/S128</f>
        <v>89.744718309859167</v>
      </c>
      <c r="T22" s="286"/>
      <c r="U22" s="290"/>
      <c r="V22" s="361">
        <v>124.4</v>
      </c>
      <c r="W22" s="285">
        <f>168.3/W128</f>
        <v>88.161341016238879</v>
      </c>
      <c r="X22" s="286"/>
      <c r="Y22" s="287"/>
      <c r="Z22" s="373">
        <v>108.2</v>
      </c>
      <c r="AA22" s="374">
        <v>107.5</v>
      </c>
      <c r="AB22" s="220"/>
      <c r="AC22" s="235"/>
    </row>
    <row r="23" spans="1:29" ht="18" customHeight="1" x14ac:dyDescent="0.25">
      <c r="A23" s="220"/>
      <c r="B23" s="210">
        <v>8</v>
      </c>
      <c r="C23" s="206">
        <v>2008</v>
      </c>
      <c r="D23" s="248">
        <v>80.599999999999994</v>
      </c>
      <c r="E23" s="249">
        <v>80</v>
      </c>
      <c r="F23" s="250">
        <v>80.7</v>
      </c>
      <c r="G23" s="251">
        <v>79.599999999999994</v>
      </c>
      <c r="H23" s="248">
        <v>78.900000000000006</v>
      </c>
      <c r="I23" s="252">
        <v>82.1</v>
      </c>
      <c r="J23" s="253">
        <v>80</v>
      </c>
      <c r="K23" s="250">
        <v>81.3</v>
      </c>
      <c r="L23" s="248">
        <v>79.099999999999994</v>
      </c>
      <c r="M23" s="252">
        <v>80</v>
      </c>
      <c r="N23" s="254">
        <v>82.1</v>
      </c>
      <c r="O23" s="255">
        <v>80</v>
      </c>
      <c r="P23" s="248">
        <v>80</v>
      </c>
      <c r="Q23" s="255">
        <v>81.2</v>
      </c>
      <c r="R23" s="223"/>
      <c r="S23" s="281">
        <f>217.3/S128</f>
        <v>95.64260563380283</v>
      </c>
      <c r="T23" s="286"/>
      <c r="U23" s="290"/>
      <c r="V23" s="361">
        <v>102</v>
      </c>
      <c r="W23" s="285">
        <f>175.4/W128</f>
        <v>91.88056574122578</v>
      </c>
      <c r="X23" s="286"/>
      <c r="Y23" s="287"/>
      <c r="Z23" s="373">
        <v>106.6</v>
      </c>
      <c r="AA23" s="374">
        <v>105.9</v>
      </c>
      <c r="AB23" s="220"/>
      <c r="AC23" s="235"/>
    </row>
    <row r="24" spans="1:29" ht="18" customHeight="1" x14ac:dyDescent="0.25">
      <c r="A24" s="220"/>
      <c r="B24" s="210">
        <v>9</v>
      </c>
      <c r="C24" s="206">
        <v>2008</v>
      </c>
      <c r="D24" s="248">
        <v>81.2</v>
      </c>
      <c r="E24" s="249">
        <v>80.900000000000006</v>
      </c>
      <c r="F24" s="250">
        <v>81.2</v>
      </c>
      <c r="G24" s="251">
        <v>79.900000000000006</v>
      </c>
      <c r="H24" s="248">
        <v>79.599999999999994</v>
      </c>
      <c r="I24" s="252">
        <v>82.3</v>
      </c>
      <c r="J24" s="253">
        <v>80.599999999999994</v>
      </c>
      <c r="K24" s="250">
        <v>81.599999999999994</v>
      </c>
      <c r="L24" s="248">
        <v>79.599999999999994</v>
      </c>
      <c r="M24" s="252">
        <v>80.8</v>
      </c>
      <c r="N24" s="254">
        <v>82.4</v>
      </c>
      <c r="O24" s="255">
        <v>79.8</v>
      </c>
      <c r="P24" s="248">
        <v>80.900000000000006</v>
      </c>
      <c r="Q24" s="255">
        <v>81.3</v>
      </c>
      <c r="R24" s="223"/>
      <c r="S24" s="281">
        <f>218.8/S128</f>
        <v>96.302816901408463</v>
      </c>
      <c r="T24" s="286"/>
      <c r="U24" s="290"/>
      <c r="V24" s="361">
        <v>95.8</v>
      </c>
      <c r="W24" s="285">
        <f>175.4/W128</f>
        <v>91.88056574122578</v>
      </c>
      <c r="X24" s="286"/>
      <c r="Y24" s="287"/>
      <c r="Z24" s="373">
        <v>93</v>
      </c>
      <c r="AA24" s="374">
        <v>92.2</v>
      </c>
      <c r="AB24" s="220"/>
      <c r="AC24" s="235"/>
    </row>
    <row r="25" spans="1:29" ht="18" customHeight="1" x14ac:dyDescent="0.25">
      <c r="A25" s="220"/>
      <c r="B25" s="210">
        <v>10</v>
      </c>
      <c r="C25" s="206">
        <v>2008</v>
      </c>
      <c r="D25" s="248">
        <v>81.5</v>
      </c>
      <c r="E25" s="249">
        <v>81.099999999999994</v>
      </c>
      <c r="F25" s="250">
        <v>81.3</v>
      </c>
      <c r="G25" s="251">
        <v>80.3</v>
      </c>
      <c r="H25" s="248">
        <v>79.8</v>
      </c>
      <c r="I25" s="252">
        <v>82.6</v>
      </c>
      <c r="J25" s="253">
        <v>80.8</v>
      </c>
      <c r="K25" s="250">
        <v>82</v>
      </c>
      <c r="L25" s="248">
        <v>79.7</v>
      </c>
      <c r="M25" s="252">
        <v>81.099999999999994</v>
      </c>
      <c r="N25" s="254">
        <v>82.5</v>
      </c>
      <c r="O25" s="255">
        <v>80.099999999999994</v>
      </c>
      <c r="P25" s="248">
        <v>81.2</v>
      </c>
      <c r="Q25" s="255">
        <v>81.599999999999994</v>
      </c>
      <c r="R25" s="223"/>
      <c r="S25" s="281">
        <f>219.6/S128</f>
        <v>96.654929577464799</v>
      </c>
      <c r="T25" s="286"/>
      <c r="U25" s="290"/>
      <c r="V25" s="361">
        <v>91.8</v>
      </c>
      <c r="W25" s="285">
        <f>175.4/W128</f>
        <v>91.88056574122578</v>
      </c>
      <c r="X25" s="286"/>
      <c r="Y25" s="287"/>
      <c r="Z25" s="373">
        <v>87.7</v>
      </c>
      <c r="AA25" s="374">
        <v>86.8</v>
      </c>
      <c r="AB25" s="220"/>
      <c r="AC25" s="235"/>
    </row>
    <row r="26" spans="1:29" ht="18" customHeight="1" x14ac:dyDescent="0.25">
      <c r="A26" s="220"/>
      <c r="B26" s="210">
        <v>11</v>
      </c>
      <c r="C26" s="206">
        <v>2008</v>
      </c>
      <c r="D26" s="248">
        <v>81.5</v>
      </c>
      <c r="E26" s="249">
        <v>81.099999999999994</v>
      </c>
      <c r="F26" s="250">
        <v>81.400000000000006</v>
      </c>
      <c r="G26" s="251">
        <v>80.400000000000006</v>
      </c>
      <c r="H26" s="248">
        <v>79.8</v>
      </c>
      <c r="I26" s="252">
        <v>82.6</v>
      </c>
      <c r="J26" s="253">
        <v>80.900000000000006</v>
      </c>
      <c r="K26" s="250">
        <v>82</v>
      </c>
      <c r="L26" s="248">
        <v>79.7</v>
      </c>
      <c r="M26" s="252">
        <v>81.2</v>
      </c>
      <c r="N26" s="254">
        <v>82.6</v>
      </c>
      <c r="O26" s="255">
        <v>80</v>
      </c>
      <c r="P26" s="248">
        <v>81.3</v>
      </c>
      <c r="Q26" s="255">
        <v>81.7</v>
      </c>
      <c r="R26" s="223"/>
      <c r="S26" s="281">
        <f>219.2/S128</f>
        <v>96.478873239436624</v>
      </c>
      <c r="T26" s="286"/>
      <c r="U26" s="290"/>
      <c r="V26" s="361">
        <v>81.900000000000006</v>
      </c>
      <c r="W26" s="285">
        <f>184.8/W128</f>
        <v>96.804609743321109</v>
      </c>
      <c r="X26" s="286"/>
      <c r="Y26" s="287"/>
      <c r="Z26" s="373">
        <v>85.4</v>
      </c>
      <c r="AA26" s="374">
        <v>84.5</v>
      </c>
      <c r="AB26" s="220"/>
      <c r="AC26" s="235"/>
    </row>
    <row r="27" spans="1:29" ht="18" customHeight="1" x14ac:dyDescent="0.25">
      <c r="A27" s="220"/>
      <c r="B27" s="211">
        <v>12</v>
      </c>
      <c r="C27" s="208">
        <v>2008</v>
      </c>
      <c r="D27" s="256">
        <v>81.400000000000006</v>
      </c>
      <c r="E27" s="257">
        <v>80.7</v>
      </c>
      <c r="F27" s="258">
        <v>81.3</v>
      </c>
      <c r="G27" s="259">
        <v>80.2</v>
      </c>
      <c r="H27" s="256">
        <v>79.8</v>
      </c>
      <c r="I27" s="260">
        <v>82.7</v>
      </c>
      <c r="J27" s="261">
        <v>80.8</v>
      </c>
      <c r="K27" s="258">
        <v>82</v>
      </c>
      <c r="L27" s="256">
        <v>79.599999999999994</v>
      </c>
      <c r="M27" s="260">
        <v>80.8</v>
      </c>
      <c r="N27" s="262">
        <v>82.5</v>
      </c>
      <c r="O27" s="263">
        <v>79.7</v>
      </c>
      <c r="P27" s="256">
        <v>81.099999999999994</v>
      </c>
      <c r="Q27" s="263">
        <v>81.3</v>
      </c>
      <c r="R27" s="223"/>
      <c r="S27" s="291">
        <f>216.6/S128</f>
        <v>95.33450704225352</v>
      </c>
      <c r="T27" s="292"/>
      <c r="U27" s="293"/>
      <c r="V27" s="362">
        <v>66.599999999999994</v>
      </c>
      <c r="W27" s="295">
        <f>184.8/W128</f>
        <v>96.804609743321109</v>
      </c>
      <c r="X27" s="292"/>
      <c r="Y27" s="296"/>
      <c r="Z27" s="375">
        <v>77.7</v>
      </c>
      <c r="AA27" s="376">
        <v>76.8</v>
      </c>
      <c r="AB27" s="220"/>
      <c r="AC27" s="235"/>
    </row>
    <row r="28" spans="1:29" ht="18" customHeight="1" x14ac:dyDescent="0.25">
      <c r="A28" s="220"/>
      <c r="B28" s="209">
        <v>1</v>
      </c>
      <c r="C28" s="204">
        <v>2009</v>
      </c>
      <c r="D28" s="264">
        <v>81.5</v>
      </c>
      <c r="E28" s="265">
        <v>80.8</v>
      </c>
      <c r="F28" s="266">
        <v>80.900000000000006</v>
      </c>
      <c r="G28" s="267">
        <v>80.3</v>
      </c>
      <c r="H28" s="264">
        <v>80.099999999999994</v>
      </c>
      <c r="I28" s="268">
        <v>83.4</v>
      </c>
      <c r="J28" s="269">
        <v>81.2</v>
      </c>
      <c r="K28" s="266">
        <v>82.7</v>
      </c>
      <c r="L28" s="264">
        <v>79.599999999999994</v>
      </c>
      <c r="M28" s="268">
        <v>81.2</v>
      </c>
      <c r="N28" s="270">
        <v>82.6</v>
      </c>
      <c r="O28" s="271">
        <v>79.7</v>
      </c>
      <c r="P28" s="264">
        <v>81.7</v>
      </c>
      <c r="Q28" s="271">
        <v>81.3</v>
      </c>
      <c r="R28" s="223"/>
      <c r="S28" s="299">
        <f>219.7/S128</f>
        <v>96.698943661971839</v>
      </c>
      <c r="T28" s="300"/>
      <c r="U28" s="301"/>
      <c r="V28" s="363">
        <v>69.7</v>
      </c>
      <c r="W28" s="303">
        <f>184.8/W128</f>
        <v>96.804609743321109</v>
      </c>
      <c r="X28" s="300"/>
      <c r="Y28" s="304"/>
      <c r="Z28" s="370">
        <v>61.9</v>
      </c>
      <c r="AA28" s="371">
        <v>60.8</v>
      </c>
      <c r="AB28" s="220"/>
      <c r="AC28" s="235"/>
    </row>
    <row r="29" spans="1:29" ht="18" customHeight="1" x14ac:dyDescent="0.25">
      <c r="A29" s="220"/>
      <c r="B29" s="210">
        <v>2</v>
      </c>
      <c r="C29" s="206">
        <v>2009</v>
      </c>
      <c r="D29" s="248">
        <v>82.2</v>
      </c>
      <c r="E29" s="249">
        <v>81.8</v>
      </c>
      <c r="F29" s="250">
        <v>82</v>
      </c>
      <c r="G29" s="251">
        <v>81</v>
      </c>
      <c r="H29" s="248">
        <v>80.900000000000006</v>
      </c>
      <c r="I29" s="252">
        <v>84.1</v>
      </c>
      <c r="J29" s="253">
        <v>82</v>
      </c>
      <c r="K29" s="250">
        <v>83.4</v>
      </c>
      <c r="L29" s="248">
        <v>80.900000000000006</v>
      </c>
      <c r="M29" s="252">
        <v>82.3</v>
      </c>
      <c r="N29" s="254">
        <v>83.7</v>
      </c>
      <c r="O29" s="255">
        <v>80.8</v>
      </c>
      <c r="P29" s="248">
        <v>82.9</v>
      </c>
      <c r="Q29" s="255">
        <v>82.8</v>
      </c>
      <c r="R29" s="223"/>
      <c r="S29" s="306">
        <f>215.7/S128</f>
        <v>94.938380281690144</v>
      </c>
      <c r="T29" s="307"/>
      <c r="U29" s="308"/>
      <c r="V29" s="361">
        <v>65.900000000000006</v>
      </c>
      <c r="W29" s="309">
        <f>193/W128</f>
        <v>101.10005238344682</v>
      </c>
      <c r="X29" s="307"/>
      <c r="Y29" s="310"/>
      <c r="Z29" s="366">
        <v>61.4</v>
      </c>
      <c r="AA29" s="367">
        <v>60.4</v>
      </c>
      <c r="AB29" s="220"/>
      <c r="AC29" s="235"/>
    </row>
    <row r="30" spans="1:29" ht="18" customHeight="1" x14ac:dyDescent="0.25">
      <c r="A30" s="220"/>
      <c r="B30" s="210">
        <v>3</v>
      </c>
      <c r="C30" s="206">
        <v>2009</v>
      </c>
      <c r="D30" s="248">
        <v>83.5</v>
      </c>
      <c r="E30" s="249">
        <v>82.9</v>
      </c>
      <c r="F30" s="250">
        <v>83.1</v>
      </c>
      <c r="G30" s="251">
        <v>82.2</v>
      </c>
      <c r="H30" s="248">
        <v>82</v>
      </c>
      <c r="I30" s="252">
        <v>85</v>
      </c>
      <c r="J30" s="253">
        <v>83.2</v>
      </c>
      <c r="K30" s="250">
        <v>84.3</v>
      </c>
      <c r="L30" s="248">
        <v>82.3</v>
      </c>
      <c r="M30" s="252">
        <v>83.4</v>
      </c>
      <c r="N30" s="254">
        <v>84.8</v>
      </c>
      <c r="O30" s="255">
        <v>82.1</v>
      </c>
      <c r="P30" s="248">
        <v>83.9</v>
      </c>
      <c r="Q30" s="255">
        <v>84</v>
      </c>
      <c r="R30" s="223"/>
      <c r="S30" s="306">
        <f>214.8/S128</f>
        <v>94.542253521126767</v>
      </c>
      <c r="T30" s="307"/>
      <c r="U30" s="308"/>
      <c r="V30" s="361">
        <v>61.6</v>
      </c>
      <c r="W30" s="309">
        <f>193/W128</f>
        <v>101.10005238344682</v>
      </c>
      <c r="X30" s="307"/>
      <c r="Y30" s="310"/>
      <c r="Z30" s="366">
        <v>57.8</v>
      </c>
      <c r="AA30" s="367">
        <v>56.7</v>
      </c>
      <c r="AB30" s="220"/>
      <c r="AC30" s="235"/>
    </row>
    <row r="31" spans="1:29" ht="18" customHeight="1" x14ac:dyDescent="0.25">
      <c r="A31" s="220"/>
      <c r="B31" s="210">
        <v>4</v>
      </c>
      <c r="C31" s="206">
        <v>2009</v>
      </c>
      <c r="D31" s="248">
        <v>83.8</v>
      </c>
      <c r="E31" s="249">
        <v>83.3</v>
      </c>
      <c r="F31" s="250">
        <v>83.5</v>
      </c>
      <c r="G31" s="251">
        <v>82.5</v>
      </c>
      <c r="H31" s="248">
        <v>82.5</v>
      </c>
      <c r="I31" s="252">
        <v>85.4</v>
      </c>
      <c r="J31" s="253">
        <v>83.6</v>
      </c>
      <c r="K31" s="250">
        <v>84.7</v>
      </c>
      <c r="L31" s="248">
        <v>82.5</v>
      </c>
      <c r="M31" s="252">
        <v>83.9</v>
      </c>
      <c r="N31" s="254">
        <v>85.3</v>
      </c>
      <c r="O31" s="255">
        <v>82.5</v>
      </c>
      <c r="P31" s="248">
        <v>84.3</v>
      </c>
      <c r="Q31" s="255">
        <v>84.1</v>
      </c>
      <c r="R31" s="223"/>
      <c r="S31" s="306">
        <f>213.3/S128</f>
        <v>93.882042253521135</v>
      </c>
      <c r="T31" s="307"/>
      <c r="U31" s="308"/>
      <c r="V31" s="361">
        <v>60.8</v>
      </c>
      <c r="W31" s="309">
        <f>193/W128</f>
        <v>101.10005238344682</v>
      </c>
      <c r="X31" s="307"/>
      <c r="Y31" s="310"/>
      <c r="Z31" s="366">
        <v>61.6</v>
      </c>
      <c r="AA31" s="367">
        <v>60.5</v>
      </c>
      <c r="AB31" s="220"/>
      <c r="AC31" s="235"/>
    </row>
    <row r="32" spans="1:29" ht="18" customHeight="1" x14ac:dyDescent="0.25">
      <c r="A32" s="220"/>
      <c r="B32" s="210">
        <v>5</v>
      </c>
      <c r="C32" s="206">
        <v>2009</v>
      </c>
      <c r="D32" s="248">
        <v>84.1</v>
      </c>
      <c r="E32" s="249">
        <v>83.5</v>
      </c>
      <c r="F32" s="250">
        <v>83.9</v>
      </c>
      <c r="G32" s="251">
        <v>82.8</v>
      </c>
      <c r="H32" s="248">
        <v>82.8</v>
      </c>
      <c r="I32" s="252">
        <v>85.7</v>
      </c>
      <c r="J32" s="253">
        <v>84</v>
      </c>
      <c r="K32" s="250">
        <v>85.1</v>
      </c>
      <c r="L32" s="248">
        <v>82.8</v>
      </c>
      <c r="M32" s="252">
        <v>84.2</v>
      </c>
      <c r="N32" s="254">
        <v>85.6</v>
      </c>
      <c r="O32" s="255">
        <v>82.6</v>
      </c>
      <c r="P32" s="248">
        <v>84.9</v>
      </c>
      <c r="Q32" s="255">
        <v>84.4</v>
      </c>
      <c r="R32" s="223"/>
      <c r="S32" s="306">
        <f>209/S128</f>
        <v>91.989436619718319</v>
      </c>
      <c r="T32" s="307"/>
      <c r="U32" s="308"/>
      <c r="V32" s="361">
        <v>61</v>
      </c>
      <c r="W32" s="309">
        <f>189.2/W128</f>
        <v>99.109481403876373</v>
      </c>
      <c r="X32" s="307"/>
      <c r="Y32" s="310"/>
      <c r="Z32" s="366">
        <v>62.4</v>
      </c>
      <c r="AA32" s="367">
        <v>61.2</v>
      </c>
      <c r="AB32" s="220"/>
      <c r="AC32" s="235"/>
    </row>
    <row r="33" spans="1:29" ht="18" customHeight="1" x14ac:dyDescent="0.25">
      <c r="A33" s="220"/>
      <c r="B33" s="210">
        <v>6</v>
      </c>
      <c r="C33" s="206">
        <v>2009</v>
      </c>
      <c r="D33" s="248">
        <v>84.5</v>
      </c>
      <c r="E33" s="249">
        <v>83.6</v>
      </c>
      <c r="F33" s="250">
        <v>84.2</v>
      </c>
      <c r="G33" s="251">
        <v>83.1</v>
      </c>
      <c r="H33" s="248">
        <v>83</v>
      </c>
      <c r="I33" s="252">
        <v>85.7</v>
      </c>
      <c r="J33" s="253">
        <v>84.2</v>
      </c>
      <c r="K33" s="250">
        <v>85.2</v>
      </c>
      <c r="L33" s="248">
        <v>83.1</v>
      </c>
      <c r="M33" s="252">
        <v>84.3</v>
      </c>
      <c r="N33" s="254">
        <v>86.2</v>
      </c>
      <c r="O33" s="255">
        <v>82.9</v>
      </c>
      <c r="P33" s="248">
        <v>85.4</v>
      </c>
      <c r="Q33" s="255">
        <v>84.9</v>
      </c>
      <c r="R33" s="223"/>
      <c r="S33" s="306">
        <f>208.9/S128</f>
        <v>91.945422535211279</v>
      </c>
      <c r="T33" s="307"/>
      <c r="U33" s="308"/>
      <c r="V33" s="361">
        <v>62.4</v>
      </c>
      <c r="W33" s="309">
        <f>189.2/W128</f>
        <v>99.109481403876373</v>
      </c>
      <c r="X33" s="307"/>
      <c r="Y33" s="310"/>
      <c r="Z33" s="366">
        <v>61.1</v>
      </c>
      <c r="AA33" s="367">
        <v>60.2</v>
      </c>
      <c r="AB33" s="220"/>
      <c r="AC33" s="235"/>
    </row>
    <row r="34" spans="1:29" ht="18" customHeight="1" x14ac:dyDescent="0.25">
      <c r="A34" s="220"/>
      <c r="B34" s="210">
        <v>7</v>
      </c>
      <c r="C34" s="206">
        <v>2009</v>
      </c>
      <c r="D34" s="248">
        <v>85.4</v>
      </c>
      <c r="E34" s="249">
        <v>85.1</v>
      </c>
      <c r="F34" s="250">
        <v>85.2</v>
      </c>
      <c r="G34" s="251">
        <v>84.3</v>
      </c>
      <c r="H34" s="248">
        <v>83.9</v>
      </c>
      <c r="I34" s="252">
        <v>86.5</v>
      </c>
      <c r="J34" s="253">
        <v>84.8</v>
      </c>
      <c r="K34" s="250">
        <v>86</v>
      </c>
      <c r="L34" s="248">
        <v>84.2</v>
      </c>
      <c r="M34" s="252">
        <v>85.7</v>
      </c>
      <c r="N34" s="254">
        <v>86.7</v>
      </c>
      <c r="O34" s="255">
        <v>84.4</v>
      </c>
      <c r="P34" s="248">
        <v>86.3</v>
      </c>
      <c r="Q34" s="255">
        <v>85.7</v>
      </c>
      <c r="R34" s="223"/>
      <c r="S34" s="306">
        <f>211.3/S128</f>
        <v>93.001760563380302</v>
      </c>
      <c r="T34" s="307"/>
      <c r="U34" s="308"/>
      <c r="V34" s="361">
        <v>64.7</v>
      </c>
      <c r="W34" s="309">
        <f>189.2/W128</f>
        <v>99.109481403876373</v>
      </c>
      <c r="X34" s="307"/>
      <c r="Y34" s="310"/>
      <c r="Z34" s="366">
        <v>64.900000000000006</v>
      </c>
      <c r="AA34" s="367">
        <v>64</v>
      </c>
      <c r="AB34" s="220"/>
      <c r="AC34" s="235"/>
    </row>
    <row r="35" spans="1:29" ht="18" customHeight="1" x14ac:dyDescent="0.25">
      <c r="A35" s="220"/>
      <c r="B35" s="210">
        <v>8</v>
      </c>
      <c r="C35" s="206">
        <v>2009</v>
      </c>
      <c r="D35" s="248">
        <v>85.7</v>
      </c>
      <c r="E35" s="249">
        <v>85.4</v>
      </c>
      <c r="F35" s="250">
        <v>85.3</v>
      </c>
      <c r="G35" s="251">
        <v>84.7</v>
      </c>
      <c r="H35" s="248">
        <v>84.1</v>
      </c>
      <c r="I35" s="252">
        <v>86.6</v>
      </c>
      <c r="J35" s="253">
        <v>84.9</v>
      </c>
      <c r="K35" s="250">
        <v>86.2</v>
      </c>
      <c r="L35" s="248">
        <v>84.5</v>
      </c>
      <c r="M35" s="252">
        <v>85.9</v>
      </c>
      <c r="N35" s="254">
        <v>87.2</v>
      </c>
      <c r="O35" s="255">
        <v>84.6</v>
      </c>
      <c r="P35" s="248">
        <v>86.8</v>
      </c>
      <c r="Q35" s="255">
        <v>85.8</v>
      </c>
      <c r="R35" s="223"/>
      <c r="S35" s="306">
        <f>210.1/S128</f>
        <v>92.473591549295776</v>
      </c>
      <c r="T35" s="307"/>
      <c r="U35" s="308"/>
      <c r="V35" s="361">
        <v>63.7</v>
      </c>
      <c r="W35" s="309">
        <f>190.9/W128</f>
        <v>100</v>
      </c>
      <c r="X35" s="307"/>
      <c r="Y35" s="310"/>
      <c r="Z35" s="366">
        <v>63</v>
      </c>
      <c r="AA35" s="367">
        <v>62.1</v>
      </c>
      <c r="AB35" s="220"/>
      <c r="AC35" s="235"/>
    </row>
    <row r="36" spans="1:29" ht="18" customHeight="1" x14ac:dyDescent="0.25">
      <c r="A36" s="220"/>
      <c r="B36" s="210">
        <v>9</v>
      </c>
      <c r="C36" s="206">
        <v>2009</v>
      </c>
      <c r="D36" s="248">
        <v>86.1</v>
      </c>
      <c r="E36" s="249">
        <v>85.5</v>
      </c>
      <c r="F36" s="250">
        <v>85.9</v>
      </c>
      <c r="G36" s="251">
        <v>85</v>
      </c>
      <c r="H36" s="248">
        <v>84.4</v>
      </c>
      <c r="I36" s="252">
        <v>86.9</v>
      </c>
      <c r="J36" s="253">
        <v>85.2</v>
      </c>
      <c r="K36" s="250">
        <v>86.4</v>
      </c>
      <c r="L36" s="248">
        <v>84.8</v>
      </c>
      <c r="M36" s="252">
        <v>86.3</v>
      </c>
      <c r="N36" s="254">
        <v>87.5</v>
      </c>
      <c r="O36" s="255">
        <v>84.8</v>
      </c>
      <c r="P36" s="248">
        <v>86.9</v>
      </c>
      <c r="Q36" s="255">
        <v>86.1</v>
      </c>
      <c r="R36" s="223"/>
      <c r="S36" s="306">
        <f>209.8/S128</f>
        <v>92.341549295774655</v>
      </c>
      <c r="T36" s="307"/>
      <c r="U36" s="308"/>
      <c r="V36" s="361">
        <v>66.2</v>
      </c>
      <c r="W36" s="309">
        <f>190.9/W128</f>
        <v>100</v>
      </c>
      <c r="X36" s="307"/>
      <c r="Y36" s="310"/>
      <c r="Z36" s="366">
        <v>66.2</v>
      </c>
      <c r="AA36" s="367">
        <v>65.3</v>
      </c>
      <c r="AB36" s="220"/>
      <c r="AC36" s="235"/>
    </row>
    <row r="37" spans="1:29" ht="18" customHeight="1" x14ac:dyDescent="0.25">
      <c r="A37" s="220"/>
      <c r="B37" s="210">
        <v>10</v>
      </c>
      <c r="C37" s="206">
        <v>2009</v>
      </c>
      <c r="D37" s="248">
        <v>86.2</v>
      </c>
      <c r="E37" s="249">
        <v>85.5</v>
      </c>
      <c r="F37" s="250">
        <v>85.8</v>
      </c>
      <c r="G37" s="251">
        <v>85</v>
      </c>
      <c r="H37" s="248">
        <v>84.3</v>
      </c>
      <c r="I37" s="252">
        <v>86.8</v>
      </c>
      <c r="J37" s="253">
        <v>85.2</v>
      </c>
      <c r="K37" s="250">
        <v>86.3</v>
      </c>
      <c r="L37" s="248">
        <v>84.7</v>
      </c>
      <c r="M37" s="252">
        <v>86.2</v>
      </c>
      <c r="N37" s="254">
        <v>87.5</v>
      </c>
      <c r="O37" s="255">
        <v>84.7</v>
      </c>
      <c r="P37" s="248">
        <v>86.9</v>
      </c>
      <c r="Q37" s="255">
        <v>86.2</v>
      </c>
      <c r="R37" s="223"/>
      <c r="S37" s="306">
        <f>209.5/S128</f>
        <v>92.209507042253534</v>
      </c>
      <c r="T37" s="307"/>
      <c r="U37" s="308"/>
      <c r="V37" s="361">
        <v>62.6</v>
      </c>
      <c r="W37" s="309">
        <f>190.9/W128</f>
        <v>100</v>
      </c>
      <c r="X37" s="307"/>
      <c r="Y37" s="310"/>
      <c r="Z37" s="366">
        <v>63.2</v>
      </c>
      <c r="AA37" s="367">
        <v>62.3</v>
      </c>
      <c r="AB37" s="220"/>
      <c r="AC37" s="235"/>
    </row>
    <row r="38" spans="1:29" ht="18" customHeight="1" x14ac:dyDescent="0.25">
      <c r="A38" s="220"/>
      <c r="B38" s="210">
        <v>11</v>
      </c>
      <c r="C38" s="206">
        <v>2009</v>
      </c>
      <c r="D38" s="248">
        <v>86.3</v>
      </c>
      <c r="E38" s="249">
        <v>85.5</v>
      </c>
      <c r="F38" s="250">
        <v>85.7</v>
      </c>
      <c r="G38" s="251">
        <v>85</v>
      </c>
      <c r="H38" s="248">
        <v>84.3</v>
      </c>
      <c r="I38" s="252">
        <v>86.8</v>
      </c>
      <c r="J38" s="253">
        <v>85.1</v>
      </c>
      <c r="K38" s="250">
        <v>86.3</v>
      </c>
      <c r="L38" s="248">
        <v>84.8</v>
      </c>
      <c r="M38" s="252">
        <v>86.3</v>
      </c>
      <c r="N38" s="254">
        <v>87.5</v>
      </c>
      <c r="O38" s="255">
        <v>84.7</v>
      </c>
      <c r="P38" s="248">
        <v>86.9</v>
      </c>
      <c r="Q38" s="255">
        <v>86.1</v>
      </c>
      <c r="R38" s="223"/>
      <c r="S38" s="306">
        <f>209.8/S128</f>
        <v>92.341549295774655</v>
      </c>
      <c r="T38" s="307"/>
      <c r="U38" s="308"/>
      <c r="V38" s="361">
        <v>63.7</v>
      </c>
      <c r="W38" s="309">
        <f>188.1/W128</f>
        <v>98.53326348873756</v>
      </c>
      <c r="X38" s="307"/>
      <c r="Y38" s="310"/>
      <c r="Z38" s="366">
        <v>64.099999999999994</v>
      </c>
      <c r="AA38" s="367">
        <v>63.2</v>
      </c>
      <c r="AB38" s="220"/>
      <c r="AC38" s="235"/>
    </row>
    <row r="39" spans="1:29" ht="18" customHeight="1" x14ac:dyDescent="0.25">
      <c r="A39" s="220"/>
      <c r="B39" s="211">
        <v>12</v>
      </c>
      <c r="C39" s="208">
        <v>2009</v>
      </c>
      <c r="D39" s="256">
        <v>86.9</v>
      </c>
      <c r="E39" s="257">
        <v>85.7</v>
      </c>
      <c r="F39" s="258">
        <v>86</v>
      </c>
      <c r="G39" s="259">
        <v>85</v>
      </c>
      <c r="H39" s="256">
        <v>84.5</v>
      </c>
      <c r="I39" s="260">
        <v>87</v>
      </c>
      <c r="J39" s="261">
        <v>85.2</v>
      </c>
      <c r="K39" s="258">
        <v>86.6</v>
      </c>
      <c r="L39" s="256">
        <v>85</v>
      </c>
      <c r="M39" s="260">
        <v>86.6</v>
      </c>
      <c r="N39" s="262">
        <v>87.2</v>
      </c>
      <c r="O39" s="263">
        <v>85.1</v>
      </c>
      <c r="P39" s="256">
        <v>87.2</v>
      </c>
      <c r="Q39" s="263">
        <v>86.3</v>
      </c>
      <c r="R39" s="223"/>
      <c r="S39" s="312">
        <f>209.8/S128</f>
        <v>92.341549295774655</v>
      </c>
      <c r="T39" s="313"/>
      <c r="U39" s="314"/>
      <c r="V39" s="362">
        <v>66.900000000000006</v>
      </c>
      <c r="W39" s="315">
        <f>188.1/W128</f>
        <v>98.53326348873756</v>
      </c>
      <c r="X39" s="313"/>
      <c r="Y39" s="316"/>
      <c r="Z39" s="368">
        <v>66.5</v>
      </c>
      <c r="AA39" s="369">
        <v>65.599999999999994</v>
      </c>
      <c r="AB39" s="220"/>
      <c r="AC39" s="235"/>
    </row>
    <row r="40" spans="1:29" ht="18" customHeight="1" x14ac:dyDescent="0.25">
      <c r="A40" s="220"/>
      <c r="B40" s="209">
        <v>1</v>
      </c>
      <c r="C40" s="204">
        <v>2010</v>
      </c>
      <c r="D40" s="264">
        <v>87.1</v>
      </c>
      <c r="E40" s="265">
        <v>85.8</v>
      </c>
      <c r="F40" s="266">
        <v>86.1</v>
      </c>
      <c r="G40" s="267">
        <v>85.2</v>
      </c>
      <c r="H40" s="264">
        <v>84.7</v>
      </c>
      <c r="I40" s="268">
        <v>87.4</v>
      </c>
      <c r="J40" s="269">
        <v>85.5</v>
      </c>
      <c r="K40" s="266">
        <v>86.9</v>
      </c>
      <c r="L40" s="264">
        <v>85.2</v>
      </c>
      <c r="M40" s="268">
        <v>86.9</v>
      </c>
      <c r="N40" s="270">
        <v>87.5</v>
      </c>
      <c r="O40" s="271">
        <v>85.4</v>
      </c>
      <c r="P40" s="264">
        <v>87.5</v>
      </c>
      <c r="Q40" s="271">
        <v>86.4</v>
      </c>
      <c r="R40" s="223"/>
      <c r="S40" s="299">
        <f>212.5/S128</f>
        <v>93.529929577464799</v>
      </c>
      <c r="T40" s="300"/>
      <c r="U40" s="301"/>
      <c r="V40" s="363">
        <v>65.400000000000006</v>
      </c>
      <c r="W40" s="303">
        <f>188.1/W128</f>
        <v>98.53326348873756</v>
      </c>
      <c r="X40" s="300"/>
      <c r="Y40" s="304"/>
      <c r="Z40" s="370">
        <v>65.2</v>
      </c>
      <c r="AA40" s="371">
        <v>64.3</v>
      </c>
      <c r="AB40" s="220"/>
      <c r="AC40" s="235"/>
    </row>
    <row r="41" spans="1:29" ht="18" customHeight="1" x14ac:dyDescent="0.25">
      <c r="A41" s="220"/>
      <c r="B41" s="210">
        <v>2</v>
      </c>
      <c r="C41" s="206">
        <v>2010</v>
      </c>
      <c r="D41" s="248">
        <v>87.4</v>
      </c>
      <c r="E41" s="249">
        <v>86.5</v>
      </c>
      <c r="F41" s="250">
        <v>86.7</v>
      </c>
      <c r="G41" s="251">
        <v>85.4</v>
      </c>
      <c r="H41" s="248">
        <v>85.3</v>
      </c>
      <c r="I41" s="252">
        <v>87.7</v>
      </c>
      <c r="J41" s="253">
        <v>85.9</v>
      </c>
      <c r="K41" s="250">
        <v>87.3</v>
      </c>
      <c r="L41" s="248">
        <v>86.2</v>
      </c>
      <c r="M41" s="252">
        <v>87.5</v>
      </c>
      <c r="N41" s="254">
        <v>88</v>
      </c>
      <c r="O41" s="255">
        <v>85.9</v>
      </c>
      <c r="P41" s="248">
        <v>88.1</v>
      </c>
      <c r="Q41" s="255">
        <v>87.1</v>
      </c>
      <c r="R41" s="223"/>
      <c r="S41" s="306">
        <f>213/S128</f>
        <v>93.750000000000014</v>
      </c>
      <c r="T41" s="307"/>
      <c r="U41" s="308"/>
      <c r="V41" s="361">
        <v>67.099999999999994</v>
      </c>
      <c r="W41" s="309">
        <f>188/W128</f>
        <v>98.480880041906758</v>
      </c>
      <c r="X41" s="307"/>
      <c r="Y41" s="310"/>
      <c r="Z41" s="366">
        <v>66.099999999999994</v>
      </c>
      <c r="AA41" s="367">
        <v>65.2</v>
      </c>
      <c r="AB41" s="220"/>
      <c r="AC41" s="235"/>
    </row>
    <row r="42" spans="1:29" ht="18" customHeight="1" x14ac:dyDescent="0.25">
      <c r="A42" s="220"/>
      <c r="B42" s="210">
        <v>3</v>
      </c>
      <c r="C42" s="206">
        <v>2010</v>
      </c>
      <c r="D42" s="248">
        <v>88.4</v>
      </c>
      <c r="E42" s="249">
        <v>87.3</v>
      </c>
      <c r="F42" s="250">
        <v>87.5</v>
      </c>
      <c r="G42" s="251">
        <v>85.9</v>
      </c>
      <c r="H42" s="248">
        <v>86</v>
      </c>
      <c r="I42" s="252">
        <v>88.4</v>
      </c>
      <c r="J42" s="253">
        <v>86.7</v>
      </c>
      <c r="K42" s="250">
        <v>87.9</v>
      </c>
      <c r="L42" s="248">
        <v>87</v>
      </c>
      <c r="M42" s="252">
        <v>88.2</v>
      </c>
      <c r="N42" s="254">
        <v>88.8</v>
      </c>
      <c r="O42" s="255">
        <v>86.8</v>
      </c>
      <c r="P42" s="248">
        <v>88.7</v>
      </c>
      <c r="Q42" s="255">
        <v>87.6</v>
      </c>
      <c r="R42" s="223"/>
      <c r="S42" s="306">
        <f>213/S128</f>
        <v>93.750000000000014</v>
      </c>
      <c r="T42" s="307"/>
      <c r="U42" s="308"/>
      <c r="V42" s="361">
        <v>68.2</v>
      </c>
      <c r="W42" s="309">
        <f>188.9/W128</f>
        <v>98.952331063383966</v>
      </c>
      <c r="X42" s="307"/>
      <c r="Y42" s="310"/>
      <c r="Z42" s="366">
        <v>66.5</v>
      </c>
      <c r="AA42" s="367">
        <v>65.599999999999994</v>
      </c>
      <c r="AB42" s="220"/>
      <c r="AC42" s="235"/>
    </row>
    <row r="43" spans="1:29" ht="18" customHeight="1" x14ac:dyDescent="0.25">
      <c r="A43" s="220"/>
      <c r="B43" s="210">
        <v>4</v>
      </c>
      <c r="C43" s="206">
        <v>2010</v>
      </c>
      <c r="D43" s="248">
        <v>88.7</v>
      </c>
      <c r="E43" s="249">
        <v>87.4</v>
      </c>
      <c r="F43" s="250">
        <v>87.8</v>
      </c>
      <c r="G43" s="251">
        <v>86.3</v>
      </c>
      <c r="H43" s="248">
        <v>86.4</v>
      </c>
      <c r="I43" s="252">
        <v>88.5</v>
      </c>
      <c r="J43" s="253">
        <v>86.6</v>
      </c>
      <c r="K43" s="250">
        <v>88</v>
      </c>
      <c r="L43" s="248">
        <v>87.2</v>
      </c>
      <c r="M43" s="252">
        <v>88.4</v>
      </c>
      <c r="N43" s="254">
        <v>89</v>
      </c>
      <c r="O43" s="255">
        <v>86.9</v>
      </c>
      <c r="P43" s="248">
        <v>88.8</v>
      </c>
      <c r="Q43" s="255">
        <v>87.6</v>
      </c>
      <c r="R43" s="223"/>
      <c r="S43" s="306">
        <f>212.8/S128</f>
        <v>93.661971830985934</v>
      </c>
      <c r="T43" s="307"/>
      <c r="U43" s="308"/>
      <c r="V43" s="361">
        <v>72.099999999999994</v>
      </c>
      <c r="W43" s="309">
        <f>188.9/W128</f>
        <v>98.952331063383966</v>
      </c>
      <c r="X43" s="307"/>
      <c r="Y43" s="310"/>
      <c r="Z43" s="366">
        <v>71.2</v>
      </c>
      <c r="AA43" s="367">
        <v>70.400000000000006</v>
      </c>
      <c r="AB43" s="220"/>
      <c r="AC43" s="235"/>
    </row>
    <row r="44" spans="1:29" ht="18" customHeight="1" x14ac:dyDescent="0.25">
      <c r="A44" s="220"/>
      <c r="B44" s="210">
        <v>5</v>
      </c>
      <c r="C44" s="206">
        <v>2010</v>
      </c>
      <c r="D44" s="248">
        <v>88.8</v>
      </c>
      <c r="E44" s="249">
        <v>87.6</v>
      </c>
      <c r="F44" s="250">
        <v>87.7</v>
      </c>
      <c r="G44" s="251">
        <v>86.4</v>
      </c>
      <c r="H44" s="248">
        <v>86.4</v>
      </c>
      <c r="I44" s="252">
        <v>88.6</v>
      </c>
      <c r="J44" s="253">
        <v>87</v>
      </c>
      <c r="K44" s="250">
        <v>88.2</v>
      </c>
      <c r="L44" s="248">
        <v>87.3</v>
      </c>
      <c r="M44" s="252">
        <v>88.5</v>
      </c>
      <c r="N44" s="254">
        <v>89.1</v>
      </c>
      <c r="O44" s="255">
        <v>87</v>
      </c>
      <c r="P44" s="248">
        <v>89</v>
      </c>
      <c r="Q44" s="255">
        <v>88</v>
      </c>
      <c r="R44" s="223"/>
      <c r="S44" s="306">
        <f>215.4/S128</f>
        <v>94.806338028169023</v>
      </c>
      <c r="T44" s="307"/>
      <c r="U44" s="308"/>
      <c r="V44" s="361">
        <v>74</v>
      </c>
      <c r="W44" s="309">
        <f>187.6/W128</f>
        <v>98.271346254583548</v>
      </c>
      <c r="X44" s="307"/>
      <c r="Y44" s="310"/>
      <c r="Z44" s="366">
        <v>73.900000000000006</v>
      </c>
      <c r="AA44" s="367">
        <v>73</v>
      </c>
      <c r="AB44" s="220"/>
      <c r="AC44" s="235"/>
    </row>
    <row r="45" spans="1:29" ht="18" customHeight="1" x14ac:dyDescent="0.25">
      <c r="A45" s="220"/>
      <c r="B45" s="210">
        <v>6</v>
      </c>
      <c r="C45" s="206">
        <v>2010</v>
      </c>
      <c r="D45" s="248">
        <v>88.7</v>
      </c>
      <c r="E45" s="249">
        <v>87.8</v>
      </c>
      <c r="F45" s="250">
        <v>87.8</v>
      </c>
      <c r="G45" s="251">
        <v>86.1</v>
      </c>
      <c r="H45" s="248">
        <v>86.5</v>
      </c>
      <c r="I45" s="252">
        <v>88.6</v>
      </c>
      <c r="J45" s="253">
        <v>87.1</v>
      </c>
      <c r="K45" s="250">
        <v>88.2</v>
      </c>
      <c r="L45" s="248">
        <v>87.4</v>
      </c>
      <c r="M45" s="252">
        <v>88.7</v>
      </c>
      <c r="N45" s="254">
        <v>89.2</v>
      </c>
      <c r="O45" s="255">
        <v>86.8</v>
      </c>
      <c r="P45" s="248">
        <v>89.1</v>
      </c>
      <c r="Q45" s="255">
        <v>88</v>
      </c>
      <c r="R45" s="223"/>
      <c r="S45" s="306">
        <f>216.7/S128</f>
        <v>95.37852112676056</v>
      </c>
      <c r="T45" s="307"/>
      <c r="U45" s="308"/>
      <c r="V45" s="361">
        <v>73</v>
      </c>
      <c r="W45" s="309">
        <f>187.4/W128</f>
        <v>98.166579360921943</v>
      </c>
      <c r="X45" s="307"/>
      <c r="Y45" s="310"/>
      <c r="Z45" s="366">
        <v>72.5</v>
      </c>
      <c r="AA45" s="367">
        <v>71.7</v>
      </c>
      <c r="AB45" s="220"/>
      <c r="AC45" s="235"/>
    </row>
    <row r="46" spans="1:29" ht="18" customHeight="1" x14ac:dyDescent="0.25">
      <c r="A46" s="220"/>
      <c r="B46" s="210">
        <v>7</v>
      </c>
      <c r="C46" s="206">
        <v>2010</v>
      </c>
      <c r="D46" s="248">
        <v>89.1</v>
      </c>
      <c r="E46" s="249">
        <v>88.4</v>
      </c>
      <c r="F46" s="250">
        <v>88.3</v>
      </c>
      <c r="G46" s="251">
        <v>87.4</v>
      </c>
      <c r="H46" s="248">
        <v>87.3</v>
      </c>
      <c r="I46" s="252">
        <v>88.8</v>
      </c>
      <c r="J46" s="253">
        <v>87.9</v>
      </c>
      <c r="K46" s="250">
        <v>88.6</v>
      </c>
      <c r="L46" s="248">
        <v>87.9</v>
      </c>
      <c r="M46" s="252">
        <v>89.3</v>
      </c>
      <c r="N46" s="254">
        <v>89.6</v>
      </c>
      <c r="O46" s="255">
        <v>87.8</v>
      </c>
      <c r="P46" s="248">
        <v>89.1</v>
      </c>
      <c r="Q46" s="255">
        <v>88.4</v>
      </c>
      <c r="R46" s="223"/>
      <c r="S46" s="306">
        <f>214.1/S128</f>
        <v>94.234154929577471</v>
      </c>
      <c r="T46" s="307"/>
      <c r="U46" s="308"/>
      <c r="V46" s="361">
        <v>71.900000000000006</v>
      </c>
      <c r="W46" s="309">
        <f>187.2/W128</f>
        <v>98.061812467260339</v>
      </c>
      <c r="X46" s="307"/>
      <c r="Y46" s="310"/>
      <c r="Z46" s="366">
        <v>71.099999999999994</v>
      </c>
      <c r="AA46" s="367">
        <v>70.3</v>
      </c>
      <c r="AB46" s="220"/>
      <c r="AC46" s="235"/>
    </row>
    <row r="47" spans="1:29" ht="18" customHeight="1" x14ac:dyDescent="0.25">
      <c r="A47" s="220"/>
      <c r="B47" s="210">
        <v>8</v>
      </c>
      <c r="C47" s="206">
        <v>2010</v>
      </c>
      <c r="D47" s="248">
        <v>89.1</v>
      </c>
      <c r="E47" s="249">
        <v>88.4</v>
      </c>
      <c r="F47" s="250">
        <v>88.3</v>
      </c>
      <c r="G47" s="251">
        <v>87.4</v>
      </c>
      <c r="H47" s="248">
        <v>87.4</v>
      </c>
      <c r="I47" s="252">
        <v>88.8</v>
      </c>
      <c r="J47" s="253">
        <v>88.1</v>
      </c>
      <c r="K47" s="250">
        <v>88.7</v>
      </c>
      <c r="L47" s="248">
        <v>87.9</v>
      </c>
      <c r="M47" s="252">
        <v>89.2</v>
      </c>
      <c r="N47" s="254">
        <v>89.8</v>
      </c>
      <c r="O47" s="255">
        <v>87.7</v>
      </c>
      <c r="P47" s="248">
        <v>89.8</v>
      </c>
      <c r="Q47" s="255">
        <v>88.5</v>
      </c>
      <c r="R47" s="223"/>
      <c r="S47" s="306">
        <f>212.6/S128</f>
        <v>93.573943661971839</v>
      </c>
      <c r="T47" s="307"/>
      <c r="U47" s="308"/>
      <c r="V47" s="361">
        <v>71.2</v>
      </c>
      <c r="W47" s="309">
        <f>186.7/W128</f>
        <v>97.799895233106326</v>
      </c>
      <c r="X47" s="307"/>
      <c r="Y47" s="310"/>
      <c r="Z47" s="366">
        <v>69.8</v>
      </c>
      <c r="AA47" s="367">
        <v>69</v>
      </c>
      <c r="AB47" s="220"/>
      <c r="AC47" s="235"/>
    </row>
    <row r="48" spans="1:29" ht="18" customHeight="1" x14ac:dyDescent="0.25">
      <c r="A48" s="220"/>
      <c r="B48" s="210">
        <v>9</v>
      </c>
      <c r="C48" s="206">
        <v>2010</v>
      </c>
      <c r="D48" s="248">
        <v>89.2</v>
      </c>
      <c r="E48" s="249">
        <v>88.6</v>
      </c>
      <c r="F48" s="250">
        <v>88.3</v>
      </c>
      <c r="G48" s="251">
        <v>87.6</v>
      </c>
      <c r="H48" s="248">
        <v>87.9</v>
      </c>
      <c r="I48" s="252">
        <v>88.6</v>
      </c>
      <c r="J48" s="253">
        <v>88.5</v>
      </c>
      <c r="K48" s="250">
        <v>88.6</v>
      </c>
      <c r="L48" s="248">
        <v>88.1</v>
      </c>
      <c r="M48" s="252">
        <v>89.5</v>
      </c>
      <c r="N48" s="254">
        <v>89.8</v>
      </c>
      <c r="O48" s="255">
        <v>87.6</v>
      </c>
      <c r="P48" s="248">
        <v>89.9</v>
      </c>
      <c r="Q48" s="255">
        <v>88.8</v>
      </c>
      <c r="R48" s="223"/>
      <c r="S48" s="306">
        <f>212.6/S128</f>
        <v>93.573943661971839</v>
      </c>
      <c r="T48" s="307"/>
      <c r="U48" s="308"/>
      <c r="V48" s="361">
        <v>70.599999999999994</v>
      </c>
      <c r="W48" s="309">
        <f>186.7/W128</f>
        <v>97.799895233106326</v>
      </c>
      <c r="X48" s="307"/>
      <c r="Y48" s="310"/>
      <c r="Z48" s="366">
        <v>69.8</v>
      </c>
      <c r="AA48" s="367">
        <v>69</v>
      </c>
      <c r="AB48" s="220"/>
      <c r="AC48" s="235"/>
    </row>
    <row r="49" spans="1:29" ht="18" customHeight="1" x14ac:dyDescent="0.25">
      <c r="A49" s="220"/>
      <c r="B49" s="210">
        <v>10</v>
      </c>
      <c r="C49" s="206">
        <v>2010</v>
      </c>
      <c r="D49" s="248">
        <v>89.3</v>
      </c>
      <c r="E49" s="249">
        <v>88.7</v>
      </c>
      <c r="F49" s="250">
        <v>88.5</v>
      </c>
      <c r="G49" s="251">
        <v>87.8</v>
      </c>
      <c r="H49" s="248">
        <v>88.1</v>
      </c>
      <c r="I49" s="252">
        <v>88.8</v>
      </c>
      <c r="J49" s="253">
        <v>88.5</v>
      </c>
      <c r="K49" s="250">
        <v>88.8</v>
      </c>
      <c r="L49" s="248">
        <v>88.2</v>
      </c>
      <c r="M49" s="252">
        <v>89.6</v>
      </c>
      <c r="N49" s="254">
        <v>90</v>
      </c>
      <c r="O49" s="255">
        <v>87.9</v>
      </c>
      <c r="P49" s="248">
        <v>90.4</v>
      </c>
      <c r="Q49" s="255">
        <v>89.2</v>
      </c>
      <c r="R49" s="223"/>
      <c r="S49" s="306">
        <f>213.7/S128</f>
        <v>94.058098591549296</v>
      </c>
      <c r="T49" s="307">
        <f>248.8/T128</f>
        <v>86.089965397923876</v>
      </c>
      <c r="U49" s="308">
        <f>264.6/U128</f>
        <v>82.173913043478265</v>
      </c>
      <c r="V49" s="361">
        <v>70.8</v>
      </c>
      <c r="W49" s="309">
        <f>186.8/W128</f>
        <v>97.852278679937143</v>
      </c>
      <c r="X49" s="307">
        <f>205.1/X128</f>
        <v>93.397085610200349</v>
      </c>
      <c r="Y49" s="310">
        <f>189.4/Y128</f>
        <v>95.08032128514057</v>
      </c>
      <c r="Z49" s="366">
        <v>69.599999999999994</v>
      </c>
      <c r="AA49" s="367">
        <v>68.8</v>
      </c>
      <c r="AB49" s="220"/>
      <c r="AC49" s="235"/>
    </row>
    <row r="50" spans="1:29" ht="18" customHeight="1" x14ac:dyDescent="0.25">
      <c r="A50" s="220"/>
      <c r="B50" s="210">
        <v>11</v>
      </c>
      <c r="C50" s="206">
        <v>2010</v>
      </c>
      <c r="D50" s="248">
        <v>89.4</v>
      </c>
      <c r="E50" s="249">
        <v>88.9</v>
      </c>
      <c r="F50" s="250">
        <v>88.5</v>
      </c>
      <c r="G50" s="251">
        <v>87.8</v>
      </c>
      <c r="H50" s="248">
        <v>88.1</v>
      </c>
      <c r="I50" s="252">
        <v>88.9</v>
      </c>
      <c r="J50" s="253">
        <v>88.6</v>
      </c>
      <c r="K50" s="250">
        <v>89</v>
      </c>
      <c r="L50" s="248">
        <v>88.3</v>
      </c>
      <c r="M50" s="252">
        <v>89.8</v>
      </c>
      <c r="N50" s="254">
        <v>90.1</v>
      </c>
      <c r="O50" s="255">
        <v>88</v>
      </c>
      <c r="P50" s="248">
        <v>90.2</v>
      </c>
      <c r="Q50" s="255">
        <v>89.4</v>
      </c>
      <c r="R50" s="223"/>
      <c r="S50" s="306">
        <f>212.9/S128</f>
        <v>93.705985915492974</v>
      </c>
      <c r="T50" s="307">
        <f>248.7/T128</f>
        <v>86.055363321799305</v>
      </c>
      <c r="U50" s="308">
        <f>264.7/U128</f>
        <v>82.204968944099377</v>
      </c>
      <c r="V50" s="361">
        <v>72.7</v>
      </c>
      <c r="W50" s="309">
        <f>187.5/W128</f>
        <v>98.218962807752746</v>
      </c>
      <c r="X50" s="307">
        <f>205.4/X128</f>
        <v>93.533697632058278</v>
      </c>
      <c r="Y50" s="310">
        <f>190.1/Y128</f>
        <v>95.431726907630519</v>
      </c>
      <c r="Z50" s="366">
        <v>71.900000000000006</v>
      </c>
      <c r="AA50" s="367">
        <v>71.099999999999994</v>
      </c>
      <c r="AB50" s="220"/>
      <c r="AC50" s="235"/>
    </row>
    <row r="51" spans="1:29" ht="18" customHeight="1" x14ac:dyDescent="0.25">
      <c r="A51" s="220"/>
      <c r="B51" s="211">
        <v>12</v>
      </c>
      <c r="C51" s="208">
        <v>2010</v>
      </c>
      <c r="D51" s="256">
        <v>89.6</v>
      </c>
      <c r="E51" s="257">
        <v>89</v>
      </c>
      <c r="F51" s="258">
        <v>88.7</v>
      </c>
      <c r="G51" s="259">
        <v>87.8</v>
      </c>
      <c r="H51" s="256">
        <v>88.3</v>
      </c>
      <c r="I51" s="260">
        <v>89</v>
      </c>
      <c r="J51" s="261">
        <v>88.8</v>
      </c>
      <c r="K51" s="258">
        <v>89</v>
      </c>
      <c r="L51" s="256">
        <v>88.3</v>
      </c>
      <c r="M51" s="260">
        <v>89.9</v>
      </c>
      <c r="N51" s="262">
        <v>90.3</v>
      </c>
      <c r="O51" s="263">
        <v>88.4</v>
      </c>
      <c r="P51" s="256">
        <v>90.2</v>
      </c>
      <c r="Q51" s="263">
        <v>89.4</v>
      </c>
      <c r="R51" s="223"/>
      <c r="S51" s="312">
        <f>213.1/S128</f>
        <v>93.794014084507054</v>
      </c>
      <c r="T51" s="313">
        <f>248.5/T128</f>
        <v>85.986159169550163</v>
      </c>
      <c r="U51" s="314">
        <f>266.2/U128</f>
        <v>82.670807453416145</v>
      </c>
      <c r="V51" s="362">
        <v>75.2</v>
      </c>
      <c r="W51" s="315">
        <f>185.8/W128</f>
        <v>97.328444211629133</v>
      </c>
      <c r="X51" s="313">
        <f>201.5/X128</f>
        <v>91.757741347905281</v>
      </c>
      <c r="Y51" s="316">
        <f>189.2/Y128</f>
        <v>94.97991967871485</v>
      </c>
      <c r="Z51" s="368">
        <v>71.900000000000006</v>
      </c>
      <c r="AA51" s="369">
        <v>71.099999999999994</v>
      </c>
      <c r="AB51" s="220"/>
      <c r="AC51" s="235"/>
    </row>
    <row r="52" spans="1:29" ht="18" customHeight="1" x14ac:dyDescent="0.25">
      <c r="A52" s="220"/>
      <c r="B52" s="209">
        <v>1</v>
      </c>
      <c r="C52" s="204">
        <v>2011</v>
      </c>
      <c r="D52" s="264">
        <v>90</v>
      </c>
      <c r="E52" s="265">
        <v>89.5</v>
      </c>
      <c r="F52" s="266">
        <v>89</v>
      </c>
      <c r="G52" s="267">
        <v>88.5</v>
      </c>
      <c r="H52" s="264">
        <v>88.9</v>
      </c>
      <c r="I52" s="268">
        <v>89.4</v>
      </c>
      <c r="J52" s="269">
        <v>89.3</v>
      </c>
      <c r="K52" s="266">
        <v>89.5</v>
      </c>
      <c r="L52" s="264">
        <v>88.9</v>
      </c>
      <c r="M52" s="268">
        <v>90</v>
      </c>
      <c r="N52" s="270">
        <v>90.6</v>
      </c>
      <c r="O52" s="271">
        <v>88.9</v>
      </c>
      <c r="P52" s="264">
        <v>90.8</v>
      </c>
      <c r="Q52" s="271">
        <v>90.1</v>
      </c>
      <c r="R52" s="223"/>
      <c r="S52" s="299">
        <f>215.4/S128</f>
        <v>94.806338028169023</v>
      </c>
      <c r="T52" s="300">
        <f>250.3/T128</f>
        <v>86.608996539792386</v>
      </c>
      <c r="U52" s="301">
        <f>266.7/U128</f>
        <v>82.826086956521735</v>
      </c>
      <c r="V52" s="363">
        <v>78</v>
      </c>
      <c r="W52" s="303">
        <f>184.2/W128</f>
        <v>96.490309062336294</v>
      </c>
      <c r="X52" s="300">
        <f>201.9/X128</f>
        <v>91.939890710382514</v>
      </c>
      <c r="Y52" s="304">
        <f>189/Y128</f>
        <v>94.879518072289159</v>
      </c>
      <c r="Z52" s="370">
        <v>74.099999999999994</v>
      </c>
      <c r="AA52" s="371">
        <v>73.3</v>
      </c>
      <c r="AB52" s="220"/>
      <c r="AC52" s="235"/>
    </row>
    <row r="53" spans="1:29" ht="18" customHeight="1" x14ac:dyDescent="0.25">
      <c r="A53" s="220"/>
      <c r="B53" s="210">
        <v>2</v>
      </c>
      <c r="C53" s="206">
        <v>2011</v>
      </c>
      <c r="D53" s="248">
        <v>90.7</v>
      </c>
      <c r="E53" s="249">
        <v>90.2</v>
      </c>
      <c r="F53" s="250">
        <v>89.7</v>
      </c>
      <c r="G53" s="251">
        <v>89.1</v>
      </c>
      <c r="H53" s="248">
        <v>89.5</v>
      </c>
      <c r="I53" s="252">
        <v>90</v>
      </c>
      <c r="J53" s="253">
        <v>89.9</v>
      </c>
      <c r="K53" s="250">
        <v>90.1</v>
      </c>
      <c r="L53" s="248">
        <v>90</v>
      </c>
      <c r="M53" s="252">
        <v>90.5</v>
      </c>
      <c r="N53" s="254">
        <v>91.2</v>
      </c>
      <c r="O53" s="255">
        <v>89.4</v>
      </c>
      <c r="P53" s="248">
        <v>91.4</v>
      </c>
      <c r="Q53" s="255">
        <v>90.7</v>
      </c>
      <c r="R53" s="223"/>
      <c r="S53" s="306">
        <f>215.9/S128</f>
        <v>95.026408450704238</v>
      </c>
      <c r="T53" s="307">
        <f>257.9/T128</f>
        <v>89.238754325259507</v>
      </c>
      <c r="U53" s="308">
        <f>272.2/U128</f>
        <v>84.534161490683218</v>
      </c>
      <c r="V53" s="361">
        <v>85.3</v>
      </c>
      <c r="W53" s="309">
        <f>186.6/W128</f>
        <v>97.747511786275538</v>
      </c>
      <c r="X53" s="307">
        <f>202.7/X128</f>
        <v>92.304189435336966</v>
      </c>
      <c r="Y53" s="310">
        <f>190.4/Y128</f>
        <v>95.582329317269085</v>
      </c>
      <c r="Z53" s="366">
        <v>77</v>
      </c>
      <c r="AA53" s="367">
        <v>76.2</v>
      </c>
      <c r="AB53" s="220"/>
      <c r="AC53" s="235"/>
    </row>
    <row r="54" spans="1:29" ht="18" customHeight="1" x14ac:dyDescent="0.25">
      <c r="A54" s="220"/>
      <c r="B54" s="210">
        <v>3</v>
      </c>
      <c r="C54" s="206">
        <v>2011</v>
      </c>
      <c r="D54" s="248">
        <v>91.8</v>
      </c>
      <c r="E54" s="249">
        <v>91.3</v>
      </c>
      <c r="F54" s="250">
        <v>90.6</v>
      </c>
      <c r="G54" s="251">
        <v>90.2</v>
      </c>
      <c r="H54" s="248">
        <v>90.7</v>
      </c>
      <c r="I54" s="252">
        <v>90.9</v>
      </c>
      <c r="J54" s="253">
        <v>90.7</v>
      </c>
      <c r="K54" s="250">
        <v>91</v>
      </c>
      <c r="L54" s="248">
        <v>91</v>
      </c>
      <c r="M54" s="252">
        <v>91.6</v>
      </c>
      <c r="N54" s="254">
        <v>92.1</v>
      </c>
      <c r="O54" s="255">
        <v>90.7</v>
      </c>
      <c r="P54" s="248">
        <v>92</v>
      </c>
      <c r="Q54" s="255">
        <v>92</v>
      </c>
      <c r="R54" s="223"/>
      <c r="S54" s="306">
        <f>217.4/S128</f>
        <v>95.686619718309871</v>
      </c>
      <c r="T54" s="307">
        <f>261.5/T128</f>
        <v>90.484429065743939</v>
      </c>
      <c r="U54" s="308">
        <f>283.1/U128</f>
        <v>87.9192546583851</v>
      </c>
      <c r="V54" s="361">
        <v>90.9</v>
      </c>
      <c r="W54" s="309">
        <f>187.3/W128</f>
        <v>98.114195914091155</v>
      </c>
      <c r="X54" s="307">
        <f>204/X128</f>
        <v>92.896174863387969</v>
      </c>
      <c r="Y54" s="310">
        <f>191.3/Y128</f>
        <v>96.03413654618474</v>
      </c>
      <c r="Z54" s="366">
        <v>83</v>
      </c>
      <c r="AA54" s="367">
        <v>82.3</v>
      </c>
      <c r="AB54" s="220"/>
      <c r="AC54" s="235"/>
    </row>
    <row r="55" spans="1:29" ht="18" customHeight="1" x14ac:dyDescent="0.25">
      <c r="A55" s="220"/>
      <c r="B55" s="210">
        <v>4</v>
      </c>
      <c r="C55" s="206">
        <v>2011</v>
      </c>
      <c r="D55" s="248">
        <v>92.1</v>
      </c>
      <c r="E55" s="249">
        <v>91.5</v>
      </c>
      <c r="F55" s="250">
        <v>90.9</v>
      </c>
      <c r="G55" s="251">
        <v>90.5</v>
      </c>
      <c r="H55" s="248">
        <v>91.1</v>
      </c>
      <c r="I55" s="252">
        <v>91.3</v>
      </c>
      <c r="J55" s="253">
        <v>91.2</v>
      </c>
      <c r="K55" s="250">
        <v>91.3</v>
      </c>
      <c r="L55" s="248">
        <v>91.3</v>
      </c>
      <c r="M55" s="252">
        <v>92</v>
      </c>
      <c r="N55" s="254">
        <v>92.3</v>
      </c>
      <c r="O55" s="255">
        <v>91.1</v>
      </c>
      <c r="P55" s="248">
        <v>92.2</v>
      </c>
      <c r="Q55" s="255">
        <v>92.2</v>
      </c>
      <c r="R55" s="223"/>
      <c r="S55" s="306">
        <f>216/S128</f>
        <v>95.070422535211279</v>
      </c>
      <c r="T55" s="307">
        <f>261.6/T128</f>
        <v>90.51903114186851</v>
      </c>
      <c r="U55" s="308">
        <f>292.7/U128</f>
        <v>90.90062111801241</v>
      </c>
      <c r="V55" s="361">
        <v>96.4</v>
      </c>
      <c r="W55" s="309">
        <f>187.5/W128</f>
        <v>98.218962807752746</v>
      </c>
      <c r="X55" s="307">
        <f>204/X128</f>
        <v>92.896174863387969</v>
      </c>
      <c r="Y55" s="310">
        <f>191.8/Y128</f>
        <v>96.285140562248998</v>
      </c>
      <c r="Z55" s="366">
        <v>89.7</v>
      </c>
      <c r="AA55" s="367">
        <v>88.4</v>
      </c>
      <c r="AB55" s="220"/>
      <c r="AC55" s="235"/>
    </row>
    <row r="56" spans="1:29" ht="18" customHeight="1" x14ac:dyDescent="0.25">
      <c r="A56" s="220"/>
      <c r="B56" s="210">
        <v>5</v>
      </c>
      <c r="C56" s="206">
        <v>2011</v>
      </c>
      <c r="D56" s="248">
        <v>92.6</v>
      </c>
      <c r="E56" s="249">
        <v>91.9</v>
      </c>
      <c r="F56" s="250">
        <v>91.3</v>
      </c>
      <c r="G56" s="251">
        <v>90.8</v>
      </c>
      <c r="H56" s="248">
        <v>91.4</v>
      </c>
      <c r="I56" s="252">
        <v>91.8</v>
      </c>
      <c r="J56" s="253">
        <v>91.5</v>
      </c>
      <c r="K56" s="250">
        <v>91.7</v>
      </c>
      <c r="L56" s="248">
        <v>91.7</v>
      </c>
      <c r="M56" s="252">
        <v>92.4</v>
      </c>
      <c r="N56" s="254">
        <v>92.8</v>
      </c>
      <c r="O56" s="255">
        <v>91.5</v>
      </c>
      <c r="P56" s="248">
        <v>92.7</v>
      </c>
      <c r="Q56" s="255">
        <v>92.7</v>
      </c>
      <c r="R56" s="223"/>
      <c r="S56" s="306">
        <f>215.7/S128</f>
        <v>94.938380281690144</v>
      </c>
      <c r="T56" s="307">
        <f>261.3/T128</f>
        <v>90.415224913494811</v>
      </c>
      <c r="U56" s="308">
        <f>294/U128</f>
        <v>91.304347826086953</v>
      </c>
      <c r="V56" s="361">
        <v>95.4</v>
      </c>
      <c r="W56" s="309">
        <f>187.5/W128</f>
        <v>98.218962807752746</v>
      </c>
      <c r="X56" s="307">
        <f>205.5/X128</f>
        <v>93.579234972677583</v>
      </c>
      <c r="Y56" s="310">
        <f>193.3/Y128</f>
        <v>97.03815261044177</v>
      </c>
      <c r="Z56" s="366">
        <v>91.2</v>
      </c>
      <c r="AA56" s="367">
        <v>89.9</v>
      </c>
      <c r="AB56" s="220"/>
      <c r="AC56" s="235"/>
    </row>
    <row r="57" spans="1:29" ht="18" customHeight="1" x14ac:dyDescent="0.25">
      <c r="A57" s="220"/>
      <c r="B57" s="210">
        <v>6</v>
      </c>
      <c r="C57" s="206">
        <v>2011</v>
      </c>
      <c r="D57" s="248">
        <v>92.9</v>
      </c>
      <c r="E57" s="249">
        <v>92.1</v>
      </c>
      <c r="F57" s="250">
        <v>91.9</v>
      </c>
      <c r="G57" s="251">
        <v>91</v>
      </c>
      <c r="H57" s="248">
        <v>91.7</v>
      </c>
      <c r="I57" s="252">
        <v>92.3</v>
      </c>
      <c r="J57" s="253">
        <v>92.1</v>
      </c>
      <c r="K57" s="250">
        <v>92.2</v>
      </c>
      <c r="L57" s="248">
        <v>92</v>
      </c>
      <c r="M57" s="252">
        <v>92.7</v>
      </c>
      <c r="N57" s="254">
        <v>93.2</v>
      </c>
      <c r="O57" s="255">
        <v>92.2</v>
      </c>
      <c r="P57" s="248">
        <v>92.8</v>
      </c>
      <c r="Q57" s="255">
        <v>93</v>
      </c>
      <c r="R57" s="223"/>
      <c r="S57" s="306">
        <f>216.1/S128</f>
        <v>95.114436619718319</v>
      </c>
      <c r="T57" s="307">
        <f>265.2/T128</f>
        <v>91.764705882352928</v>
      </c>
      <c r="U57" s="308">
        <f>294.4/U128</f>
        <v>91.428571428571416</v>
      </c>
      <c r="V57" s="361">
        <v>92.6</v>
      </c>
      <c r="W57" s="309">
        <f>188.8/W128</f>
        <v>98.899947616553177</v>
      </c>
      <c r="X57" s="307">
        <f>205.5/X128</f>
        <v>93.579234972677583</v>
      </c>
      <c r="Y57" s="310">
        <f>194/Y128</f>
        <v>97.389558232931734</v>
      </c>
      <c r="Z57" s="366">
        <v>87.6</v>
      </c>
      <c r="AA57" s="367">
        <v>86.3</v>
      </c>
      <c r="AB57" s="220"/>
      <c r="AC57" s="235"/>
    </row>
    <row r="58" spans="1:29" ht="18" customHeight="1" x14ac:dyDescent="0.25">
      <c r="A58" s="220"/>
      <c r="B58" s="210">
        <v>7</v>
      </c>
      <c r="C58" s="206">
        <v>2011</v>
      </c>
      <c r="D58" s="248">
        <v>93.5</v>
      </c>
      <c r="E58" s="249">
        <v>93.1</v>
      </c>
      <c r="F58" s="250">
        <v>92.6</v>
      </c>
      <c r="G58" s="251">
        <v>92.9</v>
      </c>
      <c r="H58" s="248">
        <v>93</v>
      </c>
      <c r="I58" s="252">
        <v>93</v>
      </c>
      <c r="J58" s="253">
        <v>92.9</v>
      </c>
      <c r="K58" s="250">
        <v>93</v>
      </c>
      <c r="L58" s="248">
        <v>92.8</v>
      </c>
      <c r="M58" s="252">
        <v>93.4</v>
      </c>
      <c r="N58" s="254">
        <v>94</v>
      </c>
      <c r="O58" s="255">
        <v>93</v>
      </c>
      <c r="P58" s="248">
        <v>93.7</v>
      </c>
      <c r="Q58" s="255">
        <v>93.4</v>
      </c>
      <c r="R58" s="223"/>
      <c r="S58" s="306">
        <f>219/S128</f>
        <v>96.390845070422543</v>
      </c>
      <c r="T58" s="307">
        <f>267.7/T128</f>
        <v>92.62975778546712</v>
      </c>
      <c r="U58" s="308">
        <f>296.2/U128</f>
        <v>91.987577639751549</v>
      </c>
      <c r="V58" s="361">
        <v>92</v>
      </c>
      <c r="W58" s="309">
        <f>189.2/W128</f>
        <v>99.109481403876373</v>
      </c>
      <c r="X58" s="307">
        <f>210.1/X128</f>
        <v>95.673952641165741</v>
      </c>
      <c r="Y58" s="310">
        <f>193.9/Y128</f>
        <v>97.339357429718874</v>
      </c>
      <c r="Z58" s="366">
        <v>86.5</v>
      </c>
      <c r="AA58" s="367">
        <v>85.2</v>
      </c>
      <c r="AB58" s="220"/>
      <c r="AC58" s="235"/>
    </row>
    <row r="59" spans="1:29" ht="18" customHeight="1" x14ac:dyDescent="0.25">
      <c r="A59" s="220"/>
      <c r="B59" s="210">
        <v>8</v>
      </c>
      <c r="C59" s="206">
        <v>2011</v>
      </c>
      <c r="D59" s="248">
        <v>93.7</v>
      </c>
      <c r="E59" s="249">
        <v>93.2</v>
      </c>
      <c r="F59" s="250">
        <v>92.8</v>
      </c>
      <c r="G59" s="251">
        <v>93.3</v>
      </c>
      <c r="H59" s="248">
        <v>93.3</v>
      </c>
      <c r="I59" s="252">
        <v>93.3</v>
      </c>
      <c r="J59" s="253">
        <v>93</v>
      </c>
      <c r="K59" s="250">
        <v>93.2</v>
      </c>
      <c r="L59" s="248">
        <v>93</v>
      </c>
      <c r="M59" s="252">
        <v>93.6</v>
      </c>
      <c r="N59" s="254">
        <v>94.1</v>
      </c>
      <c r="O59" s="255">
        <v>93.2</v>
      </c>
      <c r="P59" s="248">
        <v>93.8</v>
      </c>
      <c r="Q59" s="255">
        <v>93.8</v>
      </c>
      <c r="R59" s="223"/>
      <c r="S59" s="306">
        <f>219.7/S128</f>
        <v>96.698943661971839</v>
      </c>
      <c r="T59" s="307">
        <f>268.8/T128</f>
        <v>93.010380622837374</v>
      </c>
      <c r="U59" s="308">
        <f>296.9/U128</f>
        <v>92.204968944099363</v>
      </c>
      <c r="V59" s="361">
        <v>91.8</v>
      </c>
      <c r="W59" s="309">
        <f>189.3/W128</f>
        <v>99.161864850707175</v>
      </c>
      <c r="X59" s="307">
        <f>214.1/X128</f>
        <v>97.495446265938057</v>
      </c>
      <c r="Y59" s="310">
        <f>194.3/Y128</f>
        <v>97.540160642570285</v>
      </c>
      <c r="Z59" s="366">
        <v>88</v>
      </c>
      <c r="AA59" s="367">
        <v>86.6</v>
      </c>
      <c r="AB59" s="220"/>
      <c r="AC59" s="235"/>
    </row>
    <row r="60" spans="1:29" ht="18" customHeight="1" x14ac:dyDescent="0.25">
      <c r="A60" s="220"/>
      <c r="B60" s="210">
        <v>9</v>
      </c>
      <c r="C60" s="206">
        <v>2011</v>
      </c>
      <c r="D60" s="248">
        <v>94.1</v>
      </c>
      <c r="E60" s="249">
        <v>93.6</v>
      </c>
      <c r="F60" s="250">
        <v>93.1</v>
      </c>
      <c r="G60" s="251">
        <v>93.6</v>
      </c>
      <c r="H60" s="248">
        <v>93.7</v>
      </c>
      <c r="I60" s="252">
        <v>93.5</v>
      </c>
      <c r="J60" s="253">
        <v>93.2</v>
      </c>
      <c r="K60" s="250">
        <v>93.5</v>
      </c>
      <c r="L60" s="248">
        <v>93.3</v>
      </c>
      <c r="M60" s="252">
        <v>93.9</v>
      </c>
      <c r="N60" s="254">
        <v>94.1</v>
      </c>
      <c r="O60" s="255">
        <v>93.5</v>
      </c>
      <c r="P60" s="248">
        <v>94.3</v>
      </c>
      <c r="Q60" s="255">
        <v>94.1</v>
      </c>
      <c r="R60" s="223"/>
      <c r="S60" s="306">
        <f>220.2/S128</f>
        <v>96.91901408450704</v>
      </c>
      <c r="T60" s="307">
        <f>272.6/T128</f>
        <v>94.325259515570934</v>
      </c>
      <c r="U60" s="308">
        <f>294.9/U128</f>
        <v>91.583850931677006</v>
      </c>
      <c r="V60" s="361">
        <v>91.8</v>
      </c>
      <c r="W60" s="309">
        <f>189.1/W128</f>
        <v>99.057097957045571</v>
      </c>
      <c r="X60" s="307">
        <f>213.8/X128</f>
        <v>97.358834244080143</v>
      </c>
      <c r="Y60" s="310">
        <f>194.3/Y128</f>
        <v>97.540160642570285</v>
      </c>
      <c r="Z60" s="366">
        <v>88</v>
      </c>
      <c r="AA60" s="367">
        <v>86.6</v>
      </c>
      <c r="AB60" s="220"/>
      <c r="AC60" s="235"/>
    </row>
    <row r="61" spans="1:29" ht="18" customHeight="1" x14ac:dyDescent="0.25">
      <c r="A61" s="220"/>
      <c r="B61" s="210">
        <v>10</v>
      </c>
      <c r="C61" s="206">
        <v>2011</v>
      </c>
      <c r="D61" s="248">
        <v>94.5</v>
      </c>
      <c r="E61" s="249">
        <v>94.1</v>
      </c>
      <c r="F61" s="250">
        <v>93.7</v>
      </c>
      <c r="G61" s="251">
        <v>94.3</v>
      </c>
      <c r="H61" s="248">
        <v>94.3</v>
      </c>
      <c r="I61" s="252">
        <v>94.2</v>
      </c>
      <c r="J61" s="253">
        <v>93.8</v>
      </c>
      <c r="K61" s="250">
        <v>94.1</v>
      </c>
      <c r="L61" s="248">
        <v>93.7</v>
      </c>
      <c r="M61" s="252">
        <v>94.4</v>
      </c>
      <c r="N61" s="254">
        <v>94.7</v>
      </c>
      <c r="O61" s="255">
        <v>94.1</v>
      </c>
      <c r="P61" s="248">
        <v>94.8</v>
      </c>
      <c r="Q61" s="255">
        <v>94.7</v>
      </c>
      <c r="R61" s="223"/>
      <c r="S61" s="306">
        <f>221.6/S128</f>
        <v>97.535211267605646</v>
      </c>
      <c r="T61" s="307">
        <f>276.9/T128</f>
        <v>95.813148788927322</v>
      </c>
      <c r="U61" s="308">
        <f>296.3/U128</f>
        <v>92.018633540372676</v>
      </c>
      <c r="V61" s="361">
        <v>95.4</v>
      </c>
      <c r="W61" s="309">
        <f>187.6/W128</f>
        <v>98.271346254583548</v>
      </c>
      <c r="X61" s="307">
        <f>213.2/X128</f>
        <v>97.085610200364286</v>
      </c>
      <c r="Y61" s="310">
        <f>193.9/Y128</f>
        <v>97.339357429718874</v>
      </c>
      <c r="Z61" s="366">
        <v>91.3</v>
      </c>
      <c r="AA61" s="367">
        <v>90</v>
      </c>
      <c r="AB61" s="220"/>
      <c r="AC61" s="235"/>
    </row>
    <row r="62" spans="1:29" ht="18" customHeight="1" x14ac:dyDescent="0.25">
      <c r="A62" s="220"/>
      <c r="B62" s="210">
        <v>11</v>
      </c>
      <c r="C62" s="206">
        <v>2011</v>
      </c>
      <c r="D62" s="248">
        <v>94.6</v>
      </c>
      <c r="E62" s="249">
        <v>94.4</v>
      </c>
      <c r="F62" s="250">
        <v>93.9</v>
      </c>
      <c r="G62" s="251">
        <v>94.7</v>
      </c>
      <c r="H62" s="248">
        <v>94.5</v>
      </c>
      <c r="I62" s="252">
        <v>94.6</v>
      </c>
      <c r="J62" s="253">
        <v>94.2</v>
      </c>
      <c r="K62" s="250">
        <v>94.4</v>
      </c>
      <c r="L62" s="248">
        <v>94</v>
      </c>
      <c r="M62" s="252">
        <v>94.7</v>
      </c>
      <c r="N62" s="254">
        <v>94.8</v>
      </c>
      <c r="O62" s="255">
        <v>94.4</v>
      </c>
      <c r="P62" s="248">
        <v>94.9</v>
      </c>
      <c r="Q62" s="255">
        <v>94.8</v>
      </c>
      <c r="R62" s="223"/>
      <c r="S62" s="306">
        <f>223.2/S128</f>
        <v>98.239436619718319</v>
      </c>
      <c r="T62" s="307">
        <f>286.2/T128</f>
        <v>99.031141868512108</v>
      </c>
      <c r="U62" s="308">
        <f>303.7/U128</f>
        <v>94.31677018633539</v>
      </c>
      <c r="V62" s="361">
        <v>100.4</v>
      </c>
      <c r="W62" s="309">
        <f>187.7/W128</f>
        <v>98.323729701414351</v>
      </c>
      <c r="X62" s="307">
        <f>213.4/X128</f>
        <v>97.17668488160291</v>
      </c>
      <c r="Y62" s="310">
        <f>194.3/Y128</f>
        <v>97.540160642570285</v>
      </c>
      <c r="Z62" s="366">
        <v>94.7</v>
      </c>
      <c r="AA62" s="367">
        <v>93.4</v>
      </c>
      <c r="AB62" s="220"/>
      <c r="AC62" s="235"/>
    </row>
    <row r="63" spans="1:29" ht="18" customHeight="1" x14ac:dyDescent="0.25">
      <c r="A63" s="220"/>
      <c r="B63" s="211">
        <v>12</v>
      </c>
      <c r="C63" s="208">
        <v>2011</v>
      </c>
      <c r="D63" s="256">
        <v>94.8</v>
      </c>
      <c r="E63" s="257">
        <v>94.6</v>
      </c>
      <c r="F63" s="258">
        <v>94.1</v>
      </c>
      <c r="G63" s="259">
        <v>94.9</v>
      </c>
      <c r="H63" s="256">
        <v>94.9</v>
      </c>
      <c r="I63" s="260">
        <v>94.8</v>
      </c>
      <c r="J63" s="261">
        <v>94.3</v>
      </c>
      <c r="K63" s="258">
        <v>94.8</v>
      </c>
      <c r="L63" s="256">
        <v>94.2</v>
      </c>
      <c r="M63" s="260">
        <v>94.9</v>
      </c>
      <c r="N63" s="262">
        <v>94.9</v>
      </c>
      <c r="O63" s="263">
        <v>94.5</v>
      </c>
      <c r="P63" s="256">
        <v>95.2</v>
      </c>
      <c r="Q63" s="263">
        <v>95.1</v>
      </c>
      <c r="R63" s="223"/>
      <c r="S63" s="312">
        <f>223.6/S128</f>
        <v>98.41549295774648</v>
      </c>
      <c r="T63" s="313">
        <f>286.5/T128</f>
        <v>99.134948096885807</v>
      </c>
      <c r="U63" s="314">
        <f>311.1/U128</f>
        <v>96.614906832298132</v>
      </c>
      <c r="V63" s="362">
        <v>102</v>
      </c>
      <c r="W63" s="315">
        <f>188.4/W128</f>
        <v>98.690413829229968</v>
      </c>
      <c r="X63" s="313">
        <f>213.7/X128</f>
        <v>97.313296903460824</v>
      </c>
      <c r="Y63" s="316">
        <f>195.1/Y128</f>
        <v>97.941767068273094</v>
      </c>
      <c r="Z63" s="368">
        <v>97.7</v>
      </c>
      <c r="AA63" s="369">
        <v>97.9</v>
      </c>
      <c r="AB63" s="220"/>
      <c r="AC63" s="235"/>
    </row>
    <row r="64" spans="1:29" ht="18" customHeight="1" x14ac:dyDescent="0.25">
      <c r="A64" s="220"/>
      <c r="B64" s="209">
        <v>1</v>
      </c>
      <c r="C64" s="204">
        <v>2012</v>
      </c>
      <c r="D64" s="264">
        <v>95.2</v>
      </c>
      <c r="E64" s="265">
        <v>95</v>
      </c>
      <c r="F64" s="266">
        <v>94.2</v>
      </c>
      <c r="G64" s="267">
        <v>95.6</v>
      </c>
      <c r="H64" s="264">
        <v>95.4</v>
      </c>
      <c r="I64" s="268">
        <v>95</v>
      </c>
      <c r="J64" s="269">
        <v>94.9</v>
      </c>
      <c r="K64" s="266">
        <v>95</v>
      </c>
      <c r="L64" s="264">
        <v>94.6</v>
      </c>
      <c r="M64" s="268">
        <v>95.6</v>
      </c>
      <c r="N64" s="270">
        <v>95.5</v>
      </c>
      <c r="O64" s="271">
        <v>95.1</v>
      </c>
      <c r="P64" s="264">
        <v>95.9</v>
      </c>
      <c r="Q64" s="271">
        <v>95.5</v>
      </c>
      <c r="R64" s="223"/>
      <c r="S64" s="299">
        <f>224.5/S128</f>
        <v>98.811619718309871</v>
      </c>
      <c r="T64" s="300">
        <f>287.7/T128</f>
        <v>99.550173010380618</v>
      </c>
      <c r="U64" s="301">
        <f>312/U128</f>
        <v>96.894409937888199</v>
      </c>
      <c r="V64" s="363">
        <v>99.5</v>
      </c>
      <c r="W64" s="303">
        <f>188.6/W128</f>
        <v>98.795180722891558</v>
      </c>
      <c r="X64" s="300">
        <f>213.7/X128</f>
        <v>97.313296903460824</v>
      </c>
      <c r="Y64" s="304">
        <f>194.9/Y128</f>
        <v>97.841365461847388</v>
      </c>
      <c r="Z64" s="370">
        <v>97.2</v>
      </c>
      <c r="AA64" s="371">
        <v>95.9</v>
      </c>
      <c r="AB64" s="220"/>
      <c r="AC64" s="235"/>
    </row>
    <row r="65" spans="1:29" ht="18" customHeight="1" x14ac:dyDescent="0.25">
      <c r="A65" s="220"/>
      <c r="B65" s="205">
        <v>2</v>
      </c>
      <c r="C65" s="206">
        <v>2012</v>
      </c>
      <c r="D65" s="248">
        <v>95.6</v>
      </c>
      <c r="E65" s="249">
        <v>95.4</v>
      </c>
      <c r="F65" s="250">
        <v>95</v>
      </c>
      <c r="G65" s="251">
        <v>96.1</v>
      </c>
      <c r="H65" s="248">
        <v>96.1</v>
      </c>
      <c r="I65" s="252">
        <v>95.5</v>
      </c>
      <c r="J65" s="253">
        <v>95.5</v>
      </c>
      <c r="K65" s="250">
        <v>95.6</v>
      </c>
      <c r="L65" s="248">
        <v>95.6</v>
      </c>
      <c r="M65" s="252">
        <v>96.1</v>
      </c>
      <c r="N65" s="254">
        <v>96.1</v>
      </c>
      <c r="O65" s="255">
        <v>95.7</v>
      </c>
      <c r="P65" s="248">
        <v>96.5</v>
      </c>
      <c r="Q65" s="255">
        <v>96.1</v>
      </c>
      <c r="R65" s="223"/>
      <c r="S65" s="306">
        <f>226.6/S128</f>
        <v>99.735915492957758</v>
      </c>
      <c r="T65" s="307">
        <f>290.5/T128</f>
        <v>100.51903114186851</v>
      </c>
      <c r="U65" s="308">
        <f>318/U128</f>
        <v>98.757763975155271</v>
      </c>
      <c r="V65" s="361">
        <v>99.4</v>
      </c>
      <c r="W65" s="309">
        <f>189.4/W128</f>
        <v>99.214248297537978</v>
      </c>
      <c r="X65" s="307">
        <f>214.7/X128</f>
        <v>97.768670309653899</v>
      </c>
      <c r="Y65" s="310">
        <f>195.3/Y128</f>
        <v>98.0421686746988</v>
      </c>
      <c r="Z65" s="366">
        <v>97.2</v>
      </c>
      <c r="AA65" s="367">
        <v>95.8</v>
      </c>
      <c r="AB65" s="220"/>
      <c r="AC65" s="235"/>
    </row>
    <row r="66" spans="1:29" ht="18" customHeight="1" x14ac:dyDescent="0.25">
      <c r="A66" s="220"/>
      <c r="B66" s="205">
        <v>3</v>
      </c>
      <c r="C66" s="206">
        <v>2012</v>
      </c>
      <c r="D66" s="248">
        <v>96.7</v>
      </c>
      <c r="E66" s="249">
        <v>96.5</v>
      </c>
      <c r="F66" s="250">
        <v>96.7</v>
      </c>
      <c r="G66" s="251">
        <v>96.9</v>
      </c>
      <c r="H66" s="248">
        <v>97.1</v>
      </c>
      <c r="I66" s="252">
        <v>96.6</v>
      </c>
      <c r="J66" s="253">
        <v>96.3</v>
      </c>
      <c r="K66" s="250">
        <v>96.7</v>
      </c>
      <c r="L66" s="248">
        <v>97</v>
      </c>
      <c r="M66" s="252">
        <v>97.2</v>
      </c>
      <c r="N66" s="254">
        <v>97</v>
      </c>
      <c r="O66" s="255">
        <v>96.5</v>
      </c>
      <c r="P66" s="248">
        <v>97.2</v>
      </c>
      <c r="Q66" s="255">
        <v>97</v>
      </c>
      <c r="R66" s="223"/>
      <c r="S66" s="306">
        <f>228.2/S128</f>
        <v>100.44014084507043</v>
      </c>
      <c r="T66" s="307">
        <f>290.5/T128</f>
        <v>100.51903114186851</v>
      </c>
      <c r="U66" s="308">
        <f>317.3/U128</f>
        <v>98.540372670807457</v>
      </c>
      <c r="V66" s="361">
        <v>100.6</v>
      </c>
      <c r="W66" s="309">
        <f>188.2/W128</f>
        <v>98.585646935568349</v>
      </c>
      <c r="X66" s="307">
        <f>214.4/X128</f>
        <v>97.632058287795985</v>
      </c>
      <c r="Y66" s="310">
        <f>194.8/Y128</f>
        <v>97.791164658634543</v>
      </c>
      <c r="Z66" s="366">
        <v>98.1</v>
      </c>
      <c r="AA66" s="367">
        <v>96.8</v>
      </c>
      <c r="AB66" s="220"/>
      <c r="AC66" s="235"/>
    </row>
    <row r="67" spans="1:29" ht="18" customHeight="1" x14ac:dyDescent="0.25">
      <c r="A67" s="220"/>
      <c r="B67" s="205">
        <v>4</v>
      </c>
      <c r="C67" s="206">
        <v>2012</v>
      </c>
      <c r="D67" s="248">
        <v>97.1</v>
      </c>
      <c r="E67" s="249">
        <v>96.9</v>
      </c>
      <c r="F67" s="250">
        <v>97.2</v>
      </c>
      <c r="G67" s="251">
        <v>97.1</v>
      </c>
      <c r="H67" s="248">
        <v>97.5</v>
      </c>
      <c r="I67" s="252">
        <v>97.1</v>
      </c>
      <c r="J67" s="253">
        <v>96.6</v>
      </c>
      <c r="K67" s="250">
        <v>97.1</v>
      </c>
      <c r="L67" s="248">
        <v>97.3</v>
      </c>
      <c r="M67" s="252">
        <v>97.6</v>
      </c>
      <c r="N67" s="254">
        <v>97.4</v>
      </c>
      <c r="O67" s="255">
        <v>96.9</v>
      </c>
      <c r="P67" s="248">
        <v>97.7</v>
      </c>
      <c r="Q67" s="255">
        <v>97.4</v>
      </c>
      <c r="R67" s="223"/>
      <c r="S67" s="306">
        <f>227.9/S128</f>
        <v>100.30809859154931</v>
      </c>
      <c r="T67" s="307">
        <f>290.4/T128</f>
        <v>100.48442906574394</v>
      </c>
      <c r="U67" s="308">
        <f>317.1/U128</f>
        <v>98.478260869565219</v>
      </c>
      <c r="V67" s="361">
        <v>102.6</v>
      </c>
      <c r="W67" s="309">
        <f>188.6/W128</f>
        <v>98.795180722891558</v>
      </c>
      <c r="X67" s="307">
        <f>218/X128</f>
        <v>99.271402550091068</v>
      </c>
      <c r="Y67" s="310">
        <f>198.6/Y128</f>
        <v>99.698795180722882</v>
      </c>
      <c r="Z67" s="366">
        <v>102.9</v>
      </c>
      <c r="AA67" s="367">
        <v>101.3</v>
      </c>
      <c r="AB67" s="220"/>
      <c r="AC67" s="235"/>
    </row>
    <row r="68" spans="1:29" ht="18" customHeight="1" x14ac:dyDescent="0.25">
      <c r="A68" s="220"/>
      <c r="B68" s="205">
        <v>5</v>
      </c>
      <c r="C68" s="206">
        <v>2012</v>
      </c>
      <c r="D68" s="248">
        <v>97.3</v>
      </c>
      <c r="E68" s="249">
        <v>97.1</v>
      </c>
      <c r="F68" s="250">
        <v>97.4</v>
      </c>
      <c r="G68" s="251">
        <v>97.1</v>
      </c>
      <c r="H68" s="248">
        <v>97.4</v>
      </c>
      <c r="I68" s="252">
        <v>97.2</v>
      </c>
      <c r="J68" s="253">
        <v>96.9</v>
      </c>
      <c r="K68" s="250">
        <v>97.2</v>
      </c>
      <c r="L68" s="248">
        <v>97.4</v>
      </c>
      <c r="M68" s="252">
        <v>97.7</v>
      </c>
      <c r="N68" s="254">
        <v>97.4</v>
      </c>
      <c r="O68" s="255">
        <v>97</v>
      </c>
      <c r="P68" s="248">
        <v>97.6</v>
      </c>
      <c r="Q68" s="255">
        <v>97.4</v>
      </c>
      <c r="R68" s="223"/>
      <c r="S68" s="306">
        <f>226.9/S128</f>
        <v>99.867957746478879</v>
      </c>
      <c r="T68" s="307">
        <f>288.9/T128</f>
        <v>99.965397923875415</v>
      </c>
      <c r="U68" s="308">
        <f>323/U128</f>
        <v>100.31055900621118</v>
      </c>
      <c r="V68" s="361">
        <v>103.6</v>
      </c>
      <c r="W68" s="309">
        <f>190.3/W128</f>
        <v>99.6856993190152</v>
      </c>
      <c r="X68" s="307">
        <f>218.8/X128</f>
        <v>99.635701275045534</v>
      </c>
      <c r="Y68" s="310">
        <f>199.4/Y128</f>
        <v>100.10040160642571</v>
      </c>
      <c r="Z68" s="366">
        <v>103.8</v>
      </c>
      <c r="AA68" s="367">
        <v>102.2</v>
      </c>
      <c r="AB68" s="220"/>
      <c r="AC68" s="235"/>
    </row>
    <row r="69" spans="1:29" ht="18" customHeight="1" x14ac:dyDescent="0.25">
      <c r="A69" s="220"/>
      <c r="B69" s="205">
        <v>6</v>
      </c>
      <c r="C69" s="206">
        <v>2012</v>
      </c>
      <c r="D69" s="248">
        <v>97.5</v>
      </c>
      <c r="E69" s="249">
        <v>97.5</v>
      </c>
      <c r="F69" s="250">
        <v>97.6</v>
      </c>
      <c r="G69" s="251">
        <v>97.1</v>
      </c>
      <c r="H69" s="248">
        <v>97.4</v>
      </c>
      <c r="I69" s="252">
        <v>97.4</v>
      </c>
      <c r="J69" s="253">
        <v>97.6</v>
      </c>
      <c r="K69" s="250">
        <v>97.4</v>
      </c>
      <c r="L69" s="248">
        <v>97.4</v>
      </c>
      <c r="M69" s="252">
        <v>97.6</v>
      </c>
      <c r="N69" s="254">
        <v>97.9</v>
      </c>
      <c r="O69" s="255">
        <v>97.4</v>
      </c>
      <c r="P69" s="248">
        <v>97.8</v>
      </c>
      <c r="Q69" s="255">
        <v>97.2</v>
      </c>
      <c r="R69" s="223"/>
      <c r="S69" s="306">
        <f>226.8/S128</f>
        <v>99.823943661971839</v>
      </c>
      <c r="T69" s="307">
        <f>289.1/T128</f>
        <v>100.03460207612457</v>
      </c>
      <c r="U69" s="308">
        <f>324/U128</f>
        <v>100.62111801242236</v>
      </c>
      <c r="V69" s="361">
        <v>99.7</v>
      </c>
      <c r="W69" s="309">
        <f>190.8/W128</f>
        <v>99.947616553169198</v>
      </c>
      <c r="X69" s="307">
        <f>219.1/X128</f>
        <v>99.772313296903448</v>
      </c>
      <c r="Y69" s="310">
        <f>199.9/Y128</f>
        <v>100.35140562248996</v>
      </c>
      <c r="Z69" s="366">
        <v>101.5</v>
      </c>
      <c r="AA69" s="367">
        <v>100.2</v>
      </c>
      <c r="AB69" s="220"/>
      <c r="AC69" s="235"/>
    </row>
    <row r="70" spans="1:29" ht="18" customHeight="1" x14ac:dyDescent="0.25">
      <c r="A70" s="220"/>
      <c r="B70" s="205">
        <v>7</v>
      </c>
      <c r="C70" s="206">
        <v>2012</v>
      </c>
      <c r="D70" s="248">
        <v>97.9</v>
      </c>
      <c r="E70" s="249">
        <v>98</v>
      </c>
      <c r="F70" s="250">
        <v>97.9</v>
      </c>
      <c r="G70" s="251">
        <v>98.1</v>
      </c>
      <c r="H70" s="248">
        <v>97.7</v>
      </c>
      <c r="I70" s="252">
        <v>97.6</v>
      </c>
      <c r="J70" s="253">
        <v>97.9</v>
      </c>
      <c r="K70" s="250">
        <v>97.8</v>
      </c>
      <c r="L70" s="248">
        <v>97.7</v>
      </c>
      <c r="M70" s="252">
        <v>98</v>
      </c>
      <c r="N70" s="254">
        <v>98.2</v>
      </c>
      <c r="O70" s="255">
        <v>97.7</v>
      </c>
      <c r="P70" s="248">
        <v>98.3</v>
      </c>
      <c r="Q70" s="255">
        <v>97.7</v>
      </c>
      <c r="R70" s="223"/>
      <c r="S70" s="306">
        <f>227.1/S128</f>
        <v>99.95598591549296</v>
      </c>
      <c r="T70" s="307">
        <f>289.9/T128</f>
        <v>100.3114186851211</v>
      </c>
      <c r="U70" s="308">
        <f>325.3/U128</f>
        <v>101.02484472049689</v>
      </c>
      <c r="V70" s="361">
        <v>92.1</v>
      </c>
      <c r="W70" s="309">
        <f>191/W128</f>
        <v>100.0523834468308</v>
      </c>
      <c r="X70" s="307">
        <f>220.2/X128</f>
        <v>100.27322404371583</v>
      </c>
      <c r="Y70" s="310">
        <f>200/Y128</f>
        <v>100.40160642570281</v>
      </c>
      <c r="Z70" s="366">
        <v>95.6</v>
      </c>
      <c r="AA70" s="367">
        <v>93.9</v>
      </c>
      <c r="AB70" s="220"/>
      <c r="AC70" s="235"/>
    </row>
    <row r="71" spans="1:29" ht="18" customHeight="1" x14ac:dyDescent="0.25">
      <c r="A71" s="220"/>
      <c r="B71" s="205">
        <v>8</v>
      </c>
      <c r="C71" s="206">
        <v>2012</v>
      </c>
      <c r="D71" s="248">
        <v>98</v>
      </c>
      <c r="E71" s="249">
        <v>98.2</v>
      </c>
      <c r="F71" s="250">
        <v>98</v>
      </c>
      <c r="G71" s="251">
        <v>98.3</v>
      </c>
      <c r="H71" s="248">
        <v>98</v>
      </c>
      <c r="I71" s="252">
        <v>97.8</v>
      </c>
      <c r="J71" s="253">
        <v>98</v>
      </c>
      <c r="K71" s="250">
        <v>97.9</v>
      </c>
      <c r="L71" s="248">
        <v>98</v>
      </c>
      <c r="M71" s="252">
        <v>98.2</v>
      </c>
      <c r="N71" s="254">
        <v>98.4</v>
      </c>
      <c r="O71" s="255">
        <v>98</v>
      </c>
      <c r="P71" s="248">
        <v>98.3</v>
      </c>
      <c r="Q71" s="255">
        <v>97.9</v>
      </c>
      <c r="R71" s="223"/>
      <c r="S71" s="306">
        <f>227.9/S128</f>
        <v>100.30809859154931</v>
      </c>
      <c r="T71" s="307">
        <f>290/T128</f>
        <v>100.34602076124567</v>
      </c>
      <c r="U71" s="308">
        <f>324.2/U128</f>
        <v>100.68322981366458</v>
      </c>
      <c r="V71" s="361">
        <v>94.3</v>
      </c>
      <c r="W71" s="309">
        <f>191.5/W128</f>
        <v>100.3143006809848</v>
      </c>
      <c r="X71" s="307">
        <f>219.1/X128</f>
        <v>99.772313296903448</v>
      </c>
      <c r="Y71" s="310">
        <f>200.5/Y128</f>
        <v>100.65261044176707</v>
      </c>
      <c r="Z71" s="366">
        <v>97</v>
      </c>
      <c r="AA71" s="367">
        <v>95.2</v>
      </c>
      <c r="AB71" s="220"/>
      <c r="AC71" s="235"/>
    </row>
    <row r="72" spans="1:29" ht="18" customHeight="1" x14ac:dyDescent="0.25">
      <c r="A72" s="220"/>
      <c r="B72" s="205">
        <v>9</v>
      </c>
      <c r="C72" s="206">
        <v>2012</v>
      </c>
      <c r="D72" s="248">
        <v>98.9</v>
      </c>
      <c r="E72" s="249">
        <v>98.8</v>
      </c>
      <c r="F72" s="250">
        <v>98.8</v>
      </c>
      <c r="G72" s="251">
        <v>99.2</v>
      </c>
      <c r="H72" s="248">
        <v>98.8</v>
      </c>
      <c r="I72" s="252">
        <v>98.7</v>
      </c>
      <c r="J72" s="253">
        <v>98.9</v>
      </c>
      <c r="K72" s="250">
        <v>98.8</v>
      </c>
      <c r="L72" s="248">
        <v>99.1</v>
      </c>
      <c r="M72" s="252">
        <v>99</v>
      </c>
      <c r="N72" s="254">
        <v>99.1</v>
      </c>
      <c r="O72" s="255">
        <v>98.8</v>
      </c>
      <c r="P72" s="248">
        <v>99.2</v>
      </c>
      <c r="Q72" s="255">
        <v>99</v>
      </c>
      <c r="R72" s="223"/>
      <c r="S72" s="306">
        <f>227.5/S128</f>
        <v>100.13204225352113</v>
      </c>
      <c r="T72" s="307">
        <f>289.8/T128</f>
        <v>100.27681660899654</v>
      </c>
      <c r="U72" s="308">
        <f>323.5/U128</f>
        <v>100.46583850931677</v>
      </c>
      <c r="V72" s="361">
        <v>100.3</v>
      </c>
      <c r="W72" s="309">
        <f>192.5/W128</f>
        <v>100.83813514929282</v>
      </c>
      <c r="X72" s="307">
        <f>223.2/X128</f>
        <v>101.63934426229507</v>
      </c>
      <c r="Y72" s="310">
        <f>200.6/Y128</f>
        <v>100.70281124497991</v>
      </c>
      <c r="Z72" s="366">
        <v>103.5</v>
      </c>
      <c r="AA72" s="367">
        <v>101.8</v>
      </c>
      <c r="AB72" s="220"/>
      <c r="AC72" s="235"/>
    </row>
    <row r="73" spans="1:29" ht="18" customHeight="1" x14ac:dyDescent="0.25">
      <c r="A73" s="220"/>
      <c r="B73" s="205">
        <v>10</v>
      </c>
      <c r="C73" s="206">
        <v>2012</v>
      </c>
      <c r="D73" s="248">
        <v>99.4</v>
      </c>
      <c r="E73" s="249">
        <v>99.4</v>
      </c>
      <c r="F73" s="250">
        <v>99.4</v>
      </c>
      <c r="G73" s="251">
        <v>99.7</v>
      </c>
      <c r="H73" s="248">
        <v>99.5</v>
      </c>
      <c r="I73" s="252">
        <v>99.4</v>
      </c>
      <c r="J73" s="253">
        <v>99.5</v>
      </c>
      <c r="K73" s="250">
        <v>99.4</v>
      </c>
      <c r="L73" s="248">
        <v>99.7</v>
      </c>
      <c r="M73" s="252">
        <v>99.6</v>
      </c>
      <c r="N73" s="254">
        <v>99.7</v>
      </c>
      <c r="O73" s="255">
        <v>99.6</v>
      </c>
      <c r="P73" s="248">
        <v>99.6</v>
      </c>
      <c r="Q73" s="255">
        <v>99.6</v>
      </c>
      <c r="R73" s="223"/>
      <c r="S73" s="306">
        <f>226.8/S128</f>
        <v>99.823943661971839</v>
      </c>
      <c r="T73" s="307">
        <f>285.9/T128</f>
        <v>98.927335640138395</v>
      </c>
      <c r="U73" s="308">
        <f>324/U128</f>
        <v>100.62111801242236</v>
      </c>
      <c r="V73" s="361">
        <v>105.3</v>
      </c>
      <c r="W73" s="309">
        <f>192.5/W128</f>
        <v>100.83813514929282</v>
      </c>
      <c r="X73" s="307">
        <f>224.1/X128</f>
        <v>102.04918032786884</v>
      </c>
      <c r="Y73" s="310">
        <f>201.4/Y128</f>
        <v>101.10441767068274</v>
      </c>
      <c r="Z73" s="366">
        <v>104</v>
      </c>
      <c r="AA73" s="367">
        <v>105.6</v>
      </c>
      <c r="AB73" s="220"/>
      <c r="AC73" s="235"/>
    </row>
    <row r="74" spans="1:29" ht="18" customHeight="1" x14ac:dyDescent="0.25">
      <c r="A74" s="220"/>
      <c r="B74" s="205">
        <v>11</v>
      </c>
      <c r="C74" s="206">
        <v>2012</v>
      </c>
      <c r="D74" s="248">
        <v>99.6</v>
      </c>
      <c r="E74" s="249">
        <v>99.8</v>
      </c>
      <c r="F74" s="250">
        <v>99.6</v>
      </c>
      <c r="G74" s="251">
        <v>100</v>
      </c>
      <c r="H74" s="248">
        <v>99.8</v>
      </c>
      <c r="I74" s="252">
        <v>99.6</v>
      </c>
      <c r="J74" s="253">
        <v>99.7</v>
      </c>
      <c r="K74" s="250">
        <v>99.7</v>
      </c>
      <c r="L74" s="248">
        <v>99.8</v>
      </c>
      <c r="M74" s="252">
        <v>99.8</v>
      </c>
      <c r="N74" s="254">
        <v>99.9</v>
      </c>
      <c r="O74" s="255">
        <v>99.8</v>
      </c>
      <c r="P74" s="248">
        <v>99.8</v>
      </c>
      <c r="Q74" s="255">
        <v>99.8</v>
      </c>
      <c r="R74" s="223"/>
      <c r="S74" s="306">
        <f>227.5/S128</f>
        <v>100.13204225352113</v>
      </c>
      <c r="T74" s="307">
        <f>285.9/T128</f>
        <v>98.927335640138395</v>
      </c>
      <c r="U74" s="308">
        <f>326.4/U128</f>
        <v>101.36645962732918</v>
      </c>
      <c r="V74" s="361">
        <v>106.8</v>
      </c>
      <c r="W74" s="309">
        <f>193.2/W128</f>
        <v>101.20481927710843</v>
      </c>
      <c r="X74" s="307">
        <f>225.1/X128</f>
        <v>102.50455373406191</v>
      </c>
      <c r="Y74" s="310">
        <f>202.1/Y128</f>
        <v>101.45582329317268</v>
      </c>
      <c r="Z74" s="366">
        <v>106.5</v>
      </c>
      <c r="AA74" s="367">
        <v>106.5</v>
      </c>
      <c r="AB74" s="220"/>
      <c r="AC74" s="235"/>
    </row>
    <row r="75" spans="1:29" ht="18" customHeight="1" thickBot="1" x14ac:dyDescent="0.3">
      <c r="A75" s="220"/>
      <c r="B75" s="207">
        <v>12</v>
      </c>
      <c r="C75" s="208">
        <v>2012</v>
      </c>
      <c r="D75" s="256">
        <v>100</v>
      </c>
      <c r="E75" s="257">
        <v>100</v>
      </c>
      <c r="F75" s="258">
        <v>100</v>
      </c>
      <c r="G75" s="259">
        <v>100</v>
      </c>
      <c r="H75" s="256">
        <v>100</v>
      </c>
      <c r="I75" s="260">
        <v>100</v>
      </c>
      <c r="J75" s="261">
        <v>100</v>
      </c>
      <c r="K75" s="258">
        <v>100</v>
      </c>
      <c r="L75" s="256">
        <v>100</v>
      </c>
      <c r="M75" s="260">
        <v>100</v>
      </c>
      <c r="N75" s="262">
        <v>100</v>
      </c>
      <c r="O75" s="263">
        <v>100</v>
      </c>
      <c r="P75" s="256">
        <v>100</v>
      </c>
      <c r="Q75" s="263">
        <v>100</v>
      </c>
      <c r="R75" s="223"/>
      <c r="S75" s="345">
        <f>228.2/S128</f>
        <v>100.44014084507043</v>
      </c>
      <c r="T75" s="346">
        <f>289/T128</f>
        <v>100</v>
      </c>
      <c r="U75" s="347">
        <f>329.3/U128</f>
        <v>102.26708074534162</v>
      </c>
      <c r="V75" s="372">
        <v>106</v>
      </c>
      <c r="W75" s="349">
        <f>193.7/W128</f>
        <v>101.46673651126244</v>
      </c>
      <c r="X75" s="346">
        <f>225.3/X128</f>
        <v>102.59562841530054</v>
      </c>
      <c r="Y75" s="350">
        <f>202.6/Y128</f>
        <v>101.70682730923694</v>
      </c>
      <c r="Z75" s="377">
        <v>106</v>
      </c>
      <c r="AA75" s="378">
        <v>106</v>
      </c>
      <c r="AB75" s="220"/>
      <c r="AC75" s="353" t="s">
        <v>127</v>
      </c>
    </row>
    <row r="76" spans="1:29" ht="18" customHeight="1" thickTop="1" x14ac:dyDescent="0.25">
      <c r="A76" s="220"/>
      <c r="B76" s="203">
        <v>1</v>
      </c>
      <c r="C76" s="204">
        <v>2013</v>
      </c>
      <c r="D76" s="264">
        <v>100.2</v>
      </c>
      <c r="E76" s="265">
        <v>100.1</v>
      </c>
      <c r="F76" s="266">
        <v>100.3</v>
      </c>
      <c r="G76" s="267">
        <v>100.5</v>
      </c>
      <c r="H76" s="264">
        <v>100.4</v>
      </c>
      <c r="I76" s="268">
        <v>100.1</v>
      </c>
      <c r="J76" s="269">
        <v>100.5</v>
      </c>
      <c r="K76" s="266">
        <v>100.1</v>
      </c>
      <c r="L76" s="264">
        <v>100.2</v>
      </c>
      <c r="M76" s="268">
        <v>100.3</v>
      </c>
      <c r="N76" s="270">
        <v>100.4</v>
      </c>
      <c r="O76" s="271">
        <v>100.4</v>
      </c>
      <c r="P76" s="264">
        <v>100.4</v>
      </c>
      <c r="Q76" s="271">
        <v>100.5</v>
      </c>
      <c r="R76" s="223"/>
      <c r="S76" s="340">
        <v>101.8</v>
      </c>
      <c r="T76" s="341">
        <v>103.2</v>
      </c>
      <c r="U76" s="342">
        <v>104.4</v>
      </c>
      <c r="V76" s="360">
        <v>103.4</v>
      </c>
      <c r="W76" s="343">
        <v>102.3</v>
      </c>
      <c r="X76" s="341">
        <v>103.1</v>
      </c>
      <c r="Y76" s="342">
        <v>102.4</v>
      </c>
      <c r="Z76" s="364">
        <v>103.4</v>
      </c>
      <c r="AA76" s="365">
        <v>103.4</v>
      </c>
      <c r="AB76" s="220"/>
      <c r="AC76" s="235" t="s">
        <v>128</v>
      </c>
    </row>
    <row r="77" spans="1:29" ht="18" customHeight="1" x14ac:dyDescent="0.25">
      <c r="A77" s="220"/>
      <c r="B77" s="205">
        <v>2</v>
      </c>
      <c r="C77" s="206">
        <v>2013</v>
      </c>
      <c r="D77" s="248">
        <v>100.8</v>
      </c>
      <c r="E77" s="249">
        <v>101.2</v>
      </c>
      <c r="F77" s="250">
        <v>101.3</v>
      </c>
      <c r="G77" s="251">
        <v>100.9</v>
      </c>
      <c r="H77" s="248">
        <v>101.2</v>
      </c>
      <c r="I77" s="252">
        <v>101.2</v>
      </c>
      <c r="J77" s="253">
        <v>102</v>
      </c>
      <c r="K77" s="250">
        <v>101.3</v>
      </c>
      <c r="L77" s="248">
        <v>101.2</v>
      </c>
      <c r="M77" s="252">
        <v>101.7</v>
      </c>
      <c r="N77" s="254">
        <v>101.8</v>
      </c>
      <c r="O77" s="255">
        <v>101.5</v>
      </c>
      <c r="P77" s="248">
        <v>101.4</v>
      </c>
      <c r="Q77" s="255">
        <v>101.3</v>
      </c>
      <c r="R77" s="223"/>
      <c r="S77" s="306">
        <v>102.2</v>
      </c>
      <c r="T77" s="307">
        <v>104.8</v>
      </c>
      <c r="U77" s="308">
        <v>105.1</v>
      </c>
      <c r="V77" s="361">
        <v>105</v>
      </c>
      <c r="W77" s="309">
        <v>102.5</v>
      </c>
      <c r="X77" s="307">
        <v>103.1</v>
      </c>
      <c r="Y77" s="308">
        <v>102.4</v>
      </c>
      <c r="Z77" s="366">
        <v>105</v>
      </c>
      <c r="AA77" s="367">
        <v>105</v>
      </c>
      <c r="AB77" s="220"/>
      <c r="AC77" s="235"/>
    </row>
    <row r="78" spans="1:29" ht="18" customHeight="1" x14ac:dyDescent="0.25">
      <c r="A78" s="220"/>
      <c r="B78" s="205">
        <v>3</v>
      </c>
      <c r="C78" s="206">
        <v>2013</v>
      </c>
      <c r="D78" s="248">
        <v>102.2</v>
      </c>
      <c r="E78" s="249">
        <v>102</v>
      </c>
      <c r="F78" s="250">
        <v>102.4</v>
      </c>
      <c r="G78" s="251">
        <v>101.8</v>
      </c>
      <c r="H78" s="248">
        <v>102.4</v>
      </c>
      <c r="I78" s="252">
        <v>102.8</v>
      </c>
      <c r="J78" s="253">
        <v>102.9</v>
      </c>
      <c r="K78" s="250">
        <v>102.6</v>
      </c>
      <c r="L78" s="248">
        <v>102.4</v>
      </c>
      <c r="M78" s="252">
        <v>103.2</v>
      </c>
      <c r="N78" s="254">
        <v>103</v>
      </c>
      <c r="O78" s="255">
        <v>102.6</v>
      </c>
      <c r="P78" s="248">
        <v>102.1</v>
      </c>
      <c r="Q78" s="255">
        <v>102.8</v>
      </c>
      <c r="R78" s="223"/>
      <c r="S78" s="306">
        <v>103.1</v>
      </c>
      <c r="T78" s="307">
        <v>104.5</v>
      </c>
      <c r="U78" s="308">
        <v>104.9</v>
      </c>
      <c r="V78" s="361">
        <v>110.5</v>
      </c>
      <c r="W78" s="309">
        <v>103.6</v>
      </c>
      <c r="X78" s="307">
        <v>103.5</v>
      </c>
      <c r="Y78" s="308">
        <v>103.6</v>
      </c>
      <c r="Z78" s="366">
        <v>110.5</v>
      </c>
      <c r="AA78" s="367">
        <v>110.6</v>
      </c>
      <c r="AB78" s="220"/>
      <c r="AC78" s="235"/>
    </row>
    <row r="79" spans="1:29" ht="18" customHeight="1" x14ac:dyDescent="0.25">
      <c r="A79" s="220"/>
      <c r="B79" s="205">
        <v>4</v>
      </c>
      <c r="C79" s="206">
        <v>2013</v>
      </c>
      <c r="D79" s="248">
        <v>102.5</v>
      </c>
      <c r="E79" s="249">
        <v>102.2</v>
      </c>
      <c r="F79" s="250">
        <v>102.8</v>
      </c>
      <c r="G79" s="251">
        <v>102.1</v>
      </c>
      <c r="H79" s="248">
        <v>102.7</v>
      </c>
      <c r="I79" s="252">
        <v>102.9</v>
      </c>
      <c r="J79" s="253">
        <v>103</v>
      </c>
      <c r="K79" s="250">
        <v>102.9</v>
      </c>
      <c r="L79" s="248">
        <v>102.6</v>
      </c>
      <c r="M79" s="252">
        <v>103.6</v>
      </c>
      <c r="N79" s="254">
        <v>103.3</v>
      </c>
      <c r="O79" s="255">
        <v>102.9</v>
      </c>
      <c r="P79" s="248">
        <v>102.3</v>
      </c>
      <c r="Q79" s="255">
        <v>103</v>
      </c>
      <c r="R79" s="223"/>
      <c r="S79" s="306">
        <v>103.9</v>
      </c>
      <c r="T79" s="307">
        <v>106.3</v>
      </c>
      <c r="U79" s="308">
        <v>105.6</v>
      </c>
      <c r="V79" s="361">
        <v>111.3</v>
      </c>
      <c r="W79" s="309">
        <v>103.7</v>
      </c>
      <c r="X79" s="307">
        <v>103.6</v>
      </c>
      <c r="Y79" s="308">
        <v>103.6</v>
      </c>
      <c r="Z79" s="366">
        <v>111.3</v>
      </c>
      <c r="AA79" s="367">
        <v>111.3</v>
      </c>
      <c r="AB79" s="220"/>
      <c r="AC79" s="235"/>
    </row>
    <row r="80" spans="1:29" ht="18" customHeight="1" x14ac:dyDescent="0.25">
      <c r="A80" s="220"/>
      <c r="B80" s="205">
        <v>5</v>
      </c>
      <c r="C80" s="206">
        <v>2013</v>
      </c>
      <c r="D80" s="248">
        <v>102.2</v>
      </c>
      <c r="E80" s="249">
        <v>102.1</v>
      </c>
      <c r="F80" s="250">
        <v>102.5</v>
      </c>
      <c r="G80" s="251">
        <v>101.8</v>
      </c>
      <c r="H80" s="248">
        <v>102.6</v>
      </c>
      <c r="I80" s="252">
        <v>102.5</v>
      </c>
      <c r="J80" s="253">
        <v>102.5</v>
      </c>
      <c r="K80" s="250">
        <v>102.5</v>
      </c>
      <c r="L80" s="248">
        <v>102.5</v>
      </c>
      <c r="M80" s="252">
        <v>103.3</v>
      </c>
      <c r="N80" s="254">
        <v>102.9</v>
      </c>
      <c r="O80" s="255">
        <v>102.5</v>
      </c>
      <c r="P80" s="248">
        <v>102.1</v>
      </c>
      <c r="Q80" s="255">
        <v>103</v>
      </c>
      <c r="R80" s="223"/>
      <c r="S80" s="306">
        <v>104.2</v>
      </c>
      <c r="T80" s="307">
        <v>107.2</v>
      </c>
      <c r="U80" s="308">
        <v>107.1</v>
      </c>
      <c r="V80" s="361">
        <v>106.1</v>
      </c>
      <c r="W80" s="309">
        <v>104.5</v>
      </c>
      <c r="X80" s="307">
        <v>104.2</v>
      </c>
      <c r="Y80" s="308">
        <v>103.9</v>
      </c>
      <c r="Z80" s="366">
        <v>106.2</v>
      </c>
      <c r="AA80" s="367">
        <v>106</v>
      </c>
      <c r="AB80" s="220"/>
      <c r="AC80" s="235"/>
    </row>
    <row r="81" spans="1:29" ht="18" customHeight="1" x14ac:dyDescent="0.25">
      <c r="A81" s="220"/>
      <c r="B81" s="205">
        <v>6</v>
      </c>
      <c r="C81" s="206">
        <v>2013</v>
      </c>
      <c r="D81" s="248">
        <v>102.5</v>
      </c>
      <c r="E81" s="249">
        <v>102.5</v>
      </c>
      <c r="F81" s="250">
        <v>102.9</v>
      </c>
      <c r="G81" s="251">
        <v>101.9</v>
      </c>
      <c r="H81" s="248">
        <v>103.3</v>
      </c>
      <c r="I81" s="252">
        <v>102.9</v>
      </c>
      <c r="J81" s="253">
        <v>102.7</v>
      </c>
      <c r="K81" s="250">
        <v>102.8</v>
      </c>
      <c r="L81" s="248">
        <v>102.7</v>
      </c>
      <c r="M81" s="252">
        <v>103.8</v>
      </c>
      <c r="N81" s="254">
        <v>103.4</v>
      </c>
      <c r="O81" s="255">
        <v>102.9</v>
      </c>
      <c r="P81" s="248">
        <v>102.3</v>
      </c>
      <c r="Q81" s="255">
        <v>103.4</v>
      </c>
      <c r="R81" s="223"/>
      <c r="S81" s="306">
        <v>104.9</v>
      </c>
      <c r="T81" s="307">
        <v>107.3</v>
      </c>
      <c r="U81" s="308">
        <v>108.3</v>
      </c>
      <c r="V81" s="361">
        <v>105.7</v>
      </c>
      <c r="W81" s="309">
        <v>105.4</v>
      </c>
      <c r="X81" s="307">
        <v>104.6</v>
      </c>
      <c r="Y81" s="308">
        <v>104.7</v>
      </c>
      <c r="Z81" s="366">
        <v>105.8</v>
      </c>
      <c r="AA81" s="367">
        <v>105.6</v>
      </c>
      <c r="AB81" s="220"/>
      <c r="AC81" s="235"/>
    </row>
    <row r="82" spans="1:29" ht="18" customHeight="1" x14ac:dyDescent="0.25">
      <c r="A82" s="220"/>
      <c r="B82" s="205">
        <v>7</v>
      </c>
      <c r="C82" s="206">
        <v>2013</v>
      </c>
      <c r="D82" s="248">
        <v>103.4</v>
      </c>
      <c r="E82" s="249">
        <v>103.4</v>
      </c>
      <c r="F82" s="250">
        <v>104.9</v>
      </c>
      <c r="G82" s="251">
        <v>103.3</v>
      </c>
      <c r="H82" s="248">
        <v>104.3</v>
      </c>
      <c r="I82" s="252">
        <v>104.2</v>
      </c>
      <c r="J82" s="253">
        <v>104</v>
      </c>
      <c r="K82" s="250">
        <v>104.1</v>
      </c>
      <c r="L82" s="248">
        <v>103.8</v>
      </c>
      <c r="M82" s="252">
        <v>105</v>
      </c>
      <c r="N82" s="254">
        <v>104.3</v>
      </c>
      <c r="O82" s="255">
        <v>104</v>
      </c>
      <c r="P82" s="248">
        <v>103.2</v>
      </c>
      <c r="Q82" s="255">
        <v>104.3</v>
      </c>
      <c r="R82" s="223"/>
      <c r="S82" s="306">
        <v>105.4</v>
      </c>
      <c r="T82" s="307">
        <v>107.3</v>
      </c>
      <c r="U82" s="308">
        <v>109.4</v>
      </c>
      <c r="V82" s="361">
        <v>113.1</v>
      </c>
      <c r="W82" s="309">
        <v>107.1</v>
      </c>
      <c r="X82" s="307">
        <v>106.9</v>
      </c>
      <c r="Y82" s="308">
        <v>106.1</v>
      </c>
      <c r="Z82" s="366">
        <v>113.1</v>
      </c>
      <c r="AA82" s="367">
        <v>113.1</v>
      </c>
      <c r="AB82" s="220"/>
      <c r="AC82" s="235"/>
    </row>
    <row r="83" spans="1:29" ht="18" customHeight="1" x14ac:dyDescent="0.25">
      <c r="A83" s="220"/>
      <c r="B83" s="205">
        <v>8</v>
      </c>
      <c r="C83" s="206">
        <v>2013</v>
      </c>
      <c r="D83" s="248">
        <v>103.7</v>
      </c>
      <c r="E83" s="249">
        <v>103.7</v>
      </c>
      <c r="F83" s="250">
        <v>105</v>
      </c>
      <c r="G83" s="251">
        <v>103.7</v>
      </c>
      <c r="H83" s="248">
        <v>104.6</v>
      </c>
      <c r="I83" s="252">
        <v>104.6</v>
      </c>
      <c r="J83" s="253">
        <v>104.4</v>
      </c>
      <c r="K83" s="250">
        <v>104.5</v>
      </c>
      <c r="L83" s="248">
        <v>104.1</v>
      </c>
      <c r="M83" s="252">
        <v>105.2</v>
      </c>
      <c r="N83" s="254">
        <v>104.6</v>
      </c>
      <c r="O83" s="255">
        <v>104.3</v>
      </c>
      <c r="P83" s="248">
        <v>103.4</v>
      </c>
      <c r="Q83" s="255">
        <v>104.7</v>
      </c>
      <c r="R83" s="223"/>
      <c r="S83" s="306">
        <v>105.6</v>
      </c>
      <c r="T83" s="307">
        <v>107.1</v>
      </c>
      <c r="U83" s="308">
        <v>109.1</v>
      </c>
      <c r="V83" s="361">
        <v>116.2</v>
      </c>
      <c r="W83" s="309">
        <v>108.1</v>
      </c>
      <c r="X83" s="307">
        <v>107.4</v>
      </c>
      <c r="Y83" s="308">
        <v>106.6</v>
      </c>
      <c r="Z83" s="366">
        <v>116.1</v>
      </c>
      <c r="AA83" s="367">
        <v>116.2</v>
      </c>
      <c r="AB83" s="220"/>
      <c r="AC83" s="235"/>
    </row>
    <row r="84" spans="1:29" ht="18" customHeight="1" x14ac:dyDescent="0.25">
      <c r="A84" s="220"/>
      <c r="B84" s="205">
        <v>9</v>
      </c>
      <c r="C84" s="206">
        <v>2013</v>
      </c>
      <c r="D84" s="248">
        <v>104.6</v>
      </c>
      <c r="E84" s="249">
        <v>104.1</v>
      </c>
      <c r="F84" s="250">
        <v>105.6</v>
      </c>
      <c r="G84" s="251">
        <v>104.3</v>
      </c>
      <c r="H84" s="248">
        <v>105.3</v>
      </c>
      <c r="I84" s="252">
        <v>105</v>
      </c>
      <c r="J84" s="253">
        <v>105.1</v>
      </c>
      <c r="K84" s="250">
        <v>104.8</v>
      </c>
      <c r="L84" s="248">
        <v>104.6</v>
      </c>
      <c r="M84" s="252">
        <v>105.7</v>
      </c>
      <c r="N84" s="254">
        <v>104.8</v>
      </c>
      <c r="O84" s="255">
        <v>104.9</v>
      </c>
      <c r="P84" s="248">
        <v>104</v>
      </c>
      <c r="Q84" s="255">
        <v>105.3</v>
      </c>
      <c r="R84" s="223"/>
      <c r="S84" s="306">
        <v>105.1</v>
      </c>
      <c r="T84" s="307">
        <v>107.1</v>
      </c>
      <c r="U84" s="308">
        <v>108.4</v>
      </c>
      <c r="V84" s="361">
        <v>117.5</v>
      </c>
      <c r="W84" s="309">
        <v>108.6</v>
      </c>
      <c r="X84" s="307">
        <v>107.6</v>
      </c>
      <c r="Y84" s="308">
        <v>107</v>
      </c>
      <c r="Z84" s="366">
        <v>117.4</v>
      </c>
      <c r="AA84" s="367">
        <v>117.5</v>
      </c>
      <c r="AB84" s="220"/>
      <c r="AC84" s="235"/>
    </row>
    <row r="85" spans="1:29" ht="18" customHeight="1" x14ac:dyDescent="0.25">
      <c r="A85" s="220"/>
      <c r="B85" s="205">
        <v>10</v>
      </c>
      <c r="C85" s="206">
        <v>2013</v>
      </c>
      <c r="D85" s="248">
        <v>104.9</v>
      </c>
      <c r="E85" s="249">
        <v>104.3</v>
      </c>
      <c r="F85" s="250">
        <v>105.7</v>
      </c>
      <c r="G85" s="251">
        <v>104.5</v>
      </c>
      <c r="H85" s="248">
        <v>105.7</v>
      </c>
      <c r="I85" s="252">
        <v>105</v>
      </c>
      <c r="J85" s="253">
        <v>105.3</v>
      </c>
      <c r="K85" s="250">
        <v>104.9</v>
      </c>
      <c r="L85" s="248">
        <v>105</v>
      </c>
      <c r="M85" s="252">
        <v>105.9</v>
      </c>
      <c r="N85" s="254">
        <v>105.1</v>
      </c>
      <c r="O85" s="255">
        <v>105</v>
      </c>
      <c r="P85" s="248">
        <v>104.2</v>
      </c>
      <c r="Q85" s="255">
        <v>105.4</v>
      </c>
      <c r="R85" s="223"/>
      <c r="S85" s="306">
        <v>105.2</v>
      </c>
      <c r="T85" s="307">
        <v>107.2</v>
      </c>
      <c r="U85" s="308">
        <v>108.5</v>
      </c>
      <c r="V85" s="361">
        <v>117.3</v>
      </c>
      <c r="W85" s="309">
        <v>109.5</v>
      </c>
      <c r="X85" s="307">
        <v>108.2</v>
      </c>
      <c r="Y85" s="308">
        <v>107.6</v>
      </c>
      <c r="Z85" s="366">
        <v>117.2</v>
      </c>
      <c r="AA85" s="367">
        <v>117.3</v>
      </c>
      <c r="AB85" s="220"/>
      <c r="AC85" s="235"/>
    </row>
    <row r="86" spans="1:29" ht="18" customHeight="1" x14ac:dyDescent="0.25">
      <c r="A86" s="220"/>
      <c r="B86" s="205">
        <v>11</v>
      </c>
      <c r="C86" s="206">
        <v>2013</v>
      </c>
      <c r="D86" s="248">
        <v>104.9</v>
      </c>
      <c r="E86" s="249">
        <v>104.5</v>
      </c>
      <c r="F86" s="250">
        <v>105.7</v>
      </c>
      <c r="G86" s="251">
        <v>104.8</v>
      </c>
      <c r="H86" s="248">
        <v>105.9</v>
      </c>
      <c r="I86" s="252">
        <v>104.9</v>
      </c>
      <c r="J86" s="253">
        <v>105.6</v>
      </c>
      <c r="K86" s="250">
        <v>104.9</v>
      </c>
      <c r="L86" s="248">
        <v>104.9</v>
      </c>
      <c r="M86" s="252">
        <v>105.8</v>
      </c>
      <c r="N86" s="254">
        <v>105</v>
      </c>
      <c r="O86" s="255">
        <v>105.1</v>
      </c>
      <c r="P86" s="248">
        <v>104.2</v>
      </c>
      <c r="Q86" s="255">
        <v>105.6</v>
      </c>
      <c r="R86" s="223"/>
      <c r="S86" s="306">
        <v>105.1</v>
      </c>
      <c r="T86" s="307">
        <v>107.1</v>
      </c>
      <c r="U86" s="308">
        <v>107.8</v>
      </c>
      <c r="V86" s="361">
        <v>115.8</v>
      </c>
      <c r="W86" s="309">
        <v>109.9</v>
      </c>
      <c r="X86" s="307">
        <v>108.6</v>
      </c>
      <c r="Y86" s="308">
        <v>108.1</v>
      </c>
      <c r="Z86" s="366">
        <v>115.8</v>
      </c>
      <c r="AA86" s="367">
        <v>115.9</v>
      </c>
      <c r="AB86" s="220"/>
      <c r="AC86" s="235"/>
    </row>
    <row r="87" spans="1:29" ht="18" customHeight="1" x14ac:dyDescent="0.25">
      <c r="A87" s="220"/>
      <c r="B87" s="207">
        <v>12</v>
      </c>
      <c r="C87" s="208">
        <v>2013</v>
      </c>
      <c r="D87" s="256">
        <v>105</v>
      </c>
      <c r="E87" s="257">
        <v>104.9</v>
      </c>
      <c r="F87" s="258">
        <v>106.2</v>
      </c>
      <c r="G87" s="259">
        <v>105.2</v>
      </c>
      <c r="H87" s="256">
        <v>106.2</v>
      </c>
      <c r="I87" s="260">
        <v>105.2</v>
      </c>
      <c r="J87" s="261">
        <v>105.9</v>
      </c>
      <c r="K87" s="258">
        <v>105.3</v>
      </c>
      <c r="L87" s="256">
        <v>105.5</v>
      </c>
      <c r="M87" s="260">
        <v>106.3</v>
      </c>
      <c r="N87" s="262">
        <v>105.5</v>
      </c>
      <c r="O87" s="263">
        <v>105.3</v>
      </c>
      <c r="P87" s="256">
        <v>104.5</v>
      </c>
      <c r="Q87" s="263">
        <v>105.9</v>
      </c>
      <c r="R87" s="223"/>
      <c r="S87" s="312">
        <v>105.1</v>
      </c>
      <c r="T87" s="313">
        <v>107</v>
      </c>
      <c r="U87" s="314">
        <v>108</v>
      </c>
      <c r="V87" s="362">
        <v>116.8</v>
      </c>
      <c r="W87" s="315">
        <v>110.1</v>
      </c>
      <c r="X87" s="313">
        <v>108.7</v>
      </c>
      <c r="Y87" s="314">
        <v>108.4</v>
      </c>
      <c r="Z87" s="368">
        <v>116.7</v>
      </c>
      <c r="AA87" s="369">
        <v>116.8</v>
      </c>
      <c r="AB87" s="220"/>
      <c r="AC87" s="235"/>
    </row>
    <row r="88" spans="1:29" ht="18" customHeight="1" x14ac:dyDescent="0.25">
      <c r="A88" s="220"/>
      <c r="B88" s="203">
        <v>1</v>
      </c>
      <c r="C88" s="204">
        <v>2014</v>
      </c>
      <c r="D88" s="264">
        <v>105.9</v>
      </c>
      <c r="E88" s="265">
        <v>105.4</v>
      </c>
      <c r="F88" s="266">
        <v>106.6</v>
      </c>
      <c r="G88" s="267">
        <v>105.9</v>
      </c>
      <c r="H88" s="264">
        <v>106.8</v>
      </c>
      <c r="I88" s="268">
        <v>105.9</v>
      </c>
      <c r="J88" s="269">
        <v>106.6</v>
      </c>
      <c r="K88" s="266">
        <v>106</v>
      </c>
      <c r="L88" s="264">
        <v>106.2</v>
      </c>
      <c r="M88" s="268">
        <v>107</v>
      </c>
      <c r="N88" s="270">
        <v>106.2</v>
      </c>
      <c r="O88" s="271">
        <v>106</v>
      </c>
      <c r="P88" s="264">
        <v>105.2</v>
      </c>
      <c r="Q88" s="271">
        <v>106.9</v>
      </c>
      <c r="R88" s="223"/>
      <c r="S88" s="299">
        <v>105.9</v>
      </c>
      <c r="T88" s="300">
        <v>108.1</v>
      </c>
      <c r="U88" s="301">
        <v>109.1</v>
      </c>
      <c r="V88" s="363">
        <v>119.8</v>
      </c>
      <c r="W88" s="303">
        <v>110.7</v>
      </c>
      <c r="X88" s="300">
        <v>108.8</v>
      </c>
      <c r="Y88" s="301">
        <v>108.4</v>
      </c>
      <c r="Z88" s="370">
        <v>119.7</v>
      </c>
      <c r="AA88" s="371">
        <v>119.9</v>
      </c>
      <c r="AB88" s="220"/>
      <c r="AC88" s="235"/>
    </row>
    <row r="89" spans="1:29" ht="18" customHeight="1" x14ac:dyDescent="0.25">
      <c r="A89" s="220"/>
      <c r="B89" s="205">
        <v>2</v>
      </c>
      <c r="C89" s="206">
        <v>2014</v>
      </c>
      <c r="D89" s="248">
        <v>106.7</v>
      </c>
      <c r="E89" s="249">
        <v>106.6</v>
      </c>
      <c r="F89" s="250">
        <v>108.2</v>
      </c>
      <c r="G89" s="251">
        <v>106.7</v>
      </c>
      <c r="H89" s="248">
        <v>107.8</v>
      </c>
      <c r="I89" s="252">
        <v>107</v>
      </c>
      <c r="J89" s="253">
        <v>108.2</v>
      </c>
      <c r="K89" s="250">
        <v>107.2</v>
      </c>
      <c r="L89" s="248">
        <v>107.3</v>
      </c>
      <c r="M89" s="252">
        <v>108.4</v>
      </c>
      <c r="N89" s="254">
        <v>107.7</v>
      </c>
      <c r="O89" s="255">
        <v>107.4</v>
      </c>
      <c r="P89" s="248">
        <v>106.3</v>
      </c>
      <c r="Q89" s="255">
        <v>107.8</v>
      </c>
      <c r="R89" s="223"/>
      <c r="S89" s="306">
        <v>106</v>
      </c>
      <c r="T89" s="307">
        <v>111.3</v>
      </c>
      <c r="U89" s="308">
        <v>112.8</v>
      </c>
      <c r="V89" s="361">
        <v>122.1</v>
      </c>
      <c r="W89" s="309">
        <v>112.3</v>
      </c>
      <c r="X89" s="307">
        <v>115.8</v>
      </c>
      <c r="Y89" s="308">
        <v>109</v>
      </c>
      <c r="Z89" s="366">
        <v>122</v>
      </c>
      <c r="AA89" s="367">
        <v>122.2</v>
      </c>
      <c r="AB89" s="220"/>
      <c r="AC89" s="235"/>
    </row>
    <row r="90" spans="1:29" ht="18" customHeight="1" x14ac:dyDescent="0.25">
      <c r="A90" s="220"/>
      <c r="B90" s="205">
        <v>3</v>
      </c>
      <c r="C90" s="206">
        <v>2014</v>
      </c>
      <c r="D90" s="248">
        <v>108.2</v>
      </c>
      <c r="E90" s="249">
        <v>108.1</v>
      </c>
      <c r="F90" s="250">
        <v>109.3</v>
      </c>
      <c r="G90" s="251">
        <v>108</v>
      </c>
      <c r="H90" s="248">
        <v>109.2</v>
      </c>
      <c r="I90" s="252">
        <v>108.6</v>
      </c>
      <c r="J90" s="253">
        <v>109.5</v>
      </c>
      <c r="K90" s="250">
        <v>108.8</v>
      </c>
      <c r="L90" s="248">
        <v>108.6</v>
      </c>
      <c r="M90" s="252">
        <v>110</v>
      </c>
      <c r="N90" s="254">
        <v>109</v>
      </c>
      <c r="O90" s="255">
        <v>108.8</v>
      </c>
      <c r="P90" s="248">
        <v>107.3</v>
      </c>
      <c r="Q90" s="255">
        <v>109</v>
      </c>
      <c r="R90" s="223"/>
      <c r="S90" s="306">
        <v>107.1</v>
      </c>
      <c r="T90" s="307">
        <v>112.1</v>
      </c>
      <c r="U90" s="308">
        <v>114.3</v>
      </c>
      <c r="V90" s="361">
        <v>124.7</v>
      </c>
      <c r="W90" s="309">
        <v>112.1</v>
      </c>
      <c r="X90" s="307">
        <v>116.2</v>
      </c>
      <c r="Y90" s="308">
        <v>109.5</v>
      </c>
      <c r="Z90" s="366">
        <v>124.5</v>
      </c>
      <c r="AA90" s="367">
        <v>124.8</v>
      </c>
      <c r="AB90" s="220"/>
      <c r="AC90" s="235"/>
    </row>
    <row r="91" spans="1:29" ht="18" customHeight="1" x14ac:dyDescent="0.25">
      <c r="A91" s="220"/>
      <c r="B91" s="205">
        <v>4</v>
      </c>
      <c r="C91" s="206">
        <v>2014</v>
      </c>
      <c r="D91" s="248">
        <v>108.6</v>
      </c>
      <c r="E91" s="249">
        <v>108.5</v>
      </c>
      <c r="F91" s="250">
        <v>109.4</v>
      </c>
      <c r="G91" s="251">
        <v>108.4</v>
      </c>
      <c r="H91" s="248">
        <v>109.7</v>
      </c>
      <c r="I91" s="252">
        <v>109.1</v>
      </c>
      <c r="J91" s="253">
        <v>109.9</v>
      </c>
      <c r="K91" s="250">
        <v>109.4</v>
      </c>
      <c r="L91" s="248">
        <v>109.1</v>
      </c>
      <c r="M91" s="252">
        <v>110.6</v>
      </c>
      <c r="N91" s="254">
        <v>109.5</v>
      </c>
      <c r="O91" s="255">
        <v>109.2</v>
      </c>
      <c r="P91" s="248">
        <v>107.8</v>
      </c>
      <c r="Q91" s="255">
        <v>109.4</v>
      </c>
      <c r="R91" s="223"/>
      <c r="S91" s="306">
        <v>107.5</v>
      </c>
      <c r="T91" s="307">
        <v>112.6</v>
      </c>
      <c r="U91" s="308">
        <v>114.2</v>
      </c>
      <c r="V91" s="361">
        <v>123.6</v>
      </c>
      <c r="W91" s="309">
        <v>112.9</v>
      </c>
      <c r="X91" s="307">
        <v>117.5</v>
      </c>
      <c r="Y91" s="308">
        <v>111.4</v>
      </c>
      <c r="Z91" s="366">
        <v>123.7</v>
      </c>
      <c r="AA91" s="367">
        <v>123.6</v>
      </c>
      <c r="AB91" s="220"/>
      <c r="AC91" s="235"/>
    </row>
    <row r="92" spans="1:29" ht="18" customHeight="1" x14ac:dyDescent="0.25">
      <c r="A92" s="220"/>
      <c r="B92" s="205">
        <v>5</v>
      </c>
      <c r="C92" s="206">
        <v>2014</v>
      </c>
      <c r="D92" s="248">
        <v>108.9</v>
      </c>
      <c r="E92" s="249">
        <v>108.8</v>
      </c>
      <c r="F92" s="250">
        <v>109.6</v>
      </c>
      <c r="G92" s="251">
        <v>108.8</v>
      </c>
      <c r="H92" s="248">
        <v>109.9</v>
      </c>
      <c r="I92" s="252">
        <v>109.4</v>
      </c>
      <c r="J92" s="253">
        <v>110.3</v>
      </c>
      <c r="K92" s="250">
        <v>109.6</v>
      </c>
      <c r="L92" s="248">
        <v>109.3</v>
      </c>
      <c r="M92" s="252">
        <v>110.7</v>
      </c>
      <c r="N92" s="254">
        <v>109.6</v>
      </c>
      <c r="O92" s="255">
        <v>109.3</v>
      </c>
      <c r="P92" s="248">
        <v>108.2</v>
      </c>
      <c r="Q92" s="255">
        <v>109.8</v>
      </c>
      <c r="R92" s="223"/>
      <c r="S92" s="306">
        <v>107.7</v>
      </c>
      <c r="T92" s="307">
        <v>112.4</v>
      </c>
      <c r="U92" s="308">
        <v>113.6</v>
      </c>
      <c r="V92" s="361">
        <v>120.8</v>
      </c>
      <c r="W92" s="309">
        <v>113.4</v>
      </c>
      <c r="X92" s="307">
        <v>117.7</v>
      </c>
      <c r="Y92" s="308">
        <v>111.8</v>
      </c>
      <c r="Z92" s="366">
        <v>120.9</v>
      </c>
      <c r="AA92" s="367">
        <v>120.7</v>
      </c>
      <c r="AB92" s="220"/>
      <c r="AC92" s="235"/>
    </row>
    <row r="93" spans="1:29" ht="18" customHeight="1" x14ac:dyDescent="0.25">
      <c r="A93" s="220"/>
      <c r="B93" s="205">
        <v>6</v>
      </c>
      <c r="C93" s="206">
        <v>2014</v>
      </c>
      <c r="D93" s="248">
        <v>109.2</v>
      </c>
      <c r="E93" s="249">
        <v>109.4</v>
      </c>
      <c r="F93" s="250">
        <v>110.1</v>
      </c>
      <c r="G93" s="251">
        <v>109.2</v>
      </c>
      <c r="H93" s="248">
        <v>110.2</v>
      </c>
      <c r="I93" s="252">
        <v>109.5</v>
      </c>
      <c r="J93" s="253">
        <v>110.2</v>
      </c>
      <c r="K93" s="250">
        <v>109.9</v>
      </c>
      <c r="L93" s="248">
        <v>109.9</v>
      </c>
      <c r="M93" s="252">
        <v>111.2</v>
      </c>
      <c r="N93" s="254">
        <v>110</v>
      </c>
      <c r="O93" s="255">
        <v>109.5</v>
      </c>
      <c r="P93" s="248">
        <v>108.7</v>
      </c>
      <c r="Q93" s="255">
        <v>109.8</v>
      </c>
      <c r="R93" s="223"/>
      <c r="S93" s="306">
        <v>108</v>
      </c>
      <c r="T93" s="307">
        <v>112.4</v>
      </c>
      <c r="U93" s="308">
        <v>114.1</v>
      </c>
      <c r="V93" s="361">
        <v>118.6</v>
      </c>
      <c r="W93" s="309">
        <v>113.6</v>
      </c>
      <c r="X93" s="307">
        <v>116.7</v>
      </c>
      <c r="Y93" s="308">
        <v>110.9</v>
      </c>
      <c r="Z93" s="366">
        <v>118.7</v>
      </c>
      <c r="AA93" s="367">
        <v>118.5</v>
      </c>
      <c r="AB93" s="220"/>
      <c r="AC93" s="235"/>
    </row>
    <row r="94" spans="1:29" ht="18" customHeight="1" x14ac:dyDescent="0.25">
      <c r="A94" s="220"/>
      <c r="B94" s="205">
        <v>7</v>
      </c>
      <c r="C94" s="206">
        <v>2014</v>
      </c>
      <c r="D94" s="248">
        <v>110.1</v>
      </c>
      <c r="E94" s="249">
        <v>110.5</v>
      </c>
      <c r="F94" s="250">
        <v>111.3</v>
      </c>
      <c r="G94" s="251">
        <v>111.2</v>
      </c>
      <c r="H94" s="248">
        <v>110.8</v>
      </c>
      <c r="I94" s="252">
        <v>110.9</v>
      </c>
      <c r="J94" s="253">
        <v>110.7</v>
      </c>
      <c r="K94" s="250">
        <v>111</v>
      </c>
      <c r="L94" s="248">
        <v>110.5</v>
      </c>
      <c r="M94" s="252">
        <v>112.1</v>
      </c>
      <c r="N94" s="254">
        <v>110.6</v>
      </c>
      <c r="O94" s="255">
        <v>110.5</v>
      </c>
      <c r="P94" s="248">
        <v>109.1</v>
      </c>
      <c r="Q94" s="255">
        <v>110.6</v>
      </c>
      <c r="R94" s="223"/>
      <c r="S94" s="306">
        <v>108</v>
      </c>
      <c r="T94" s="307">
        <v>112</v>
      </c>
      <c r="U94" s="308">
        <v>115.1</v>
      </c>
      <c r="V94" s="361">
        <v>119.9</v>
      </c>
      <c r="W94" s="309">
        <v>113.7</v>
      </c>
      <c r="X94" s="307">
        <v>116.3</v>
      </c>
      <c r="Y94" s="308">
        <v>110.6</v>
      </c>
      <c r="Z94" s="366">
        <v>120</v>
      </c>
      <c r="AA94" s="367">
        <v>119.8</v>
      </c>
      <c r="AB94" s="220"/>
      <c r="AC94" s="235"/>
    </row>
    <row r="95" spans="1:29" ht="18" customHeight="1" x14ac:dyDescent="0.25">
      <c r="A95" s="220"/>
      <c r="B95" s="205">
        <v>8</v>
      </c>
      <c r="C95" s="206">
        <v>2014</v>
      </c>
      <c r="D95" s="248">
        <v>110.5</v>
      </c>
      <c r="E95" s="249">
        <v>110.8</v>
      </c>
      <c r="F95" s="250">
        <v>111.5</v>
      </c>
      <c r="G95" s="251">
        <v>111.4</v>
      </c>
      <c r="H95" s="248">
        <v>111.2</v>
      </c>
      <c r="I95" s="252">
        <v>111</v>
      </c>
      <c r="J95" s="253">
        <v>111.2</v>
      </c>
      <c r="K95" s="250">
        <v>111.2</v>
      </c>
      <c r="L95" s="248">
        <v>111</v>
      </c>
      <c r="M95" s="252">
        <v>112.4</v>
      </c>
      <c r="N95" s="254">
        <v>111</v>
      </c>
      <c r="O95" s="255">
        <v>110.9</v>
      </c>
      <c r="P95" s="248">
        <v>109.7</v>
      </c>
      <c r="Q95" s="255">
        <v>111</v>
      </c>
      <c r="R95" s="223"/>
      <c r="S95" s="306">
        <v>108</v>
      </c>
      <c r="T95" s="307">
        <v>112</v>
      </c>
      <c r="U95" s="308">
        <v>114</v>
      </c>
      <c r="V95" s="361">
        <v>119.4</v>
      </c>
      <c r="W95" s="309">
        <v>113.9</v>
      </c>
      <c r="X95" s="307">
        <v>117.2</v>
      </c>
      <c r="Y95" s="308">
        <v>110.7</v>
      </c>
      <c r="Z95" s="366">
        <v>119.5</v>
      </c>
      <c r="AA95" s="367">
        <v>119.3</v>
      </c>
      <c r="AB95" s="220"/>
      <c r="AC95" s="235"/>
    </row>
    <row r="96" spans="1:29" ht="18" customHeight="1" x14ac:dyDescent="0.25">
      <c r="A96" s="220"/>
      <c r="B96" s="205">
        <v>9</v>
      </c>
      <c r="C96" s="206">
        <v>2014</v>
      </c>
      <c r="D96" s="248">
        <v>110.9</v>
      </c>
      <c r="E96" s="249">
        <v>110.6</v>
      </c>
      <c r="F96" s="250">
        <v>111.4</v>
      </c>
      <c r="G96" s="251">
        <v>111.3</v>
      </c>
      <c r="H96" s="248">
        <v>111.2</v>
      </c>
      <c r="I96" s="252">
        <v>110.9</v>
      </c>
      <c r="J96" s="253">
        <v>111</v>
      </c>
      <c r="K96" s="250">
        <v>111.1</v>
      </c>
      <c r="L96" s="248">
        <v>110.8</v>
      </c>
      <c r="M96" s="252">
        <v>112.3</v>
      </c>
      <c r="N96" s="254">
        <v>111</v>
      </c>
      <c r="O96" s="255">
        <v>110.7</v>
      </c>
      <c r="P96" s="248">
        <v>109.7</v>
      </c>
      <c r="Q96" s="255">
        <v>111</v>
      </c>
      <c r="R96" s="223"/>
      <c r="S96" s="306">
        <v>108.7</v>
      </c>
      <c r="T96" s="307">
        <v>113.2</v>
      </c>
      <c r="U96" s="308">
        <v>114.1</v>
      </c>
      <c r="V96" s="361">
        <v>117</v>
      </c>
      <c r="W96" s="309">
        <v>113.9</v>
      </c>
      <c r="X96" s="307">
        <v>117.2</v>
      </c>
      <c r="Y96" s="308">
        <v>110.6</v>
      </c>
      <c r="Z96" s="366">
        <v>117.2</v>
      </c>
      <c r="AA96" s="367">
        <v>116.9</v>
      </c>
      <c r="AB96" s="220"/>
      <c r="AC96" s="235"/>
    </row>
    <row r="97" spans="1:29" ht="18" customHeight="1" x14ac:dyDescent="0.25">
      <c r="A97" s="220"/>
      <c r="B97" s="205">
        <v>10</v>
      </c>
      <c r="C97" s="206">
        <v>2014</v>
      </c>
      <c r="D97" s="248">
        <v>111.3</v>
      </c>
      <c r="E97" s="249">
        <v>110.8</v>
      </c>
      <c r="F97" s="250">
        <v>111.6</v>
      </c>
      <c r="G97" s="251">
        <v>111.4</v>
      </c>
      <c r="H97" s="248">
        <v>111.5</v>
      </c>
      <c r="I97" s="252">
        <v>111</v>
      </c>
      <c r="J97" s="253">
        <v>111.3</v>
      </c>
      <c r="K97" s="250">
        <v>111.2</v>
      </c>
      <c r="L97" s="248">
        <v>110.8</v>
      </c>
      <c r="M97" s="252">
        <v>112.5</v>
      </c>
      <c r="N97" s="254">
        <v>111.2</v>
      </c>
      <c r="O97" s="255">
        <v>110.8</v>
      </c>
      <c r="P97" s="248">
        <v>110</v>
      </c>
      <c r="Q97" s="255">
        <v>111</v>
      </c>
      <c r="R97" s="223"/>
      <c r="S97" s="306">
        <v>108.8</v>
      </c>
      <c r="T97" s="307">
        <v>113.2</v>
      </c>
      <c r="U97" s="308">
        <v>114.4</v>
      </c>
      <c r="V97" s="361">
        <v>115.8</v>
      </c>
      <c r="W97" s="309">
        <v>113.3</v>
      </c>
      <c r="X97" s="307">
        <v>117.1</v>
      </c>
      <c r="Y97" s="308">
        <v>109.4</v>
      </c>
      <c r="Z97" s="366">
        <v>116</v>
      </c>
      <c r="AA97" s="367">
        <v>115.6</v>
      </c>
      <c r="AB97" s="220"/>
      <c r="AC97" s="235"/>
    </row>
    <row r="98" spans="1:29" ht="18" customHeight="1" x14ac:dyDescent="0.25">
      <c r="A98" s="220"/>
      <c r="B98" s="205">
        <v>11</v>
      </c>
      <c r="C98" s="206">
        <v>2014</v>
      </c>
      <c r="D98" s="248">
        <v>111.4</v>
      </c>
      <c r="E98" s="249">
        <v>111</v>
      </c>
      <c r="F98" s="250">
        <v>111.6</v>
      </c>
      <c r="G98" s="251">
        <v>111.3</v>
      </c>
      <c r="H98" s="248">
        <v>111.6</v>
      </c>
      <c r="I98" s="252">
        <v>110.8</v>
      </c>
      <c r="J98" s="253">
        <v>111.3</v>
      </c>
      <c r="K98" s="250">
        <v>111.1</v>
      </c>
      <c r="L98" s="248">
        <v>110.9</v>
      </c>
      <c r="M98" s="252">
        <v>112.4</v>
      </c>
      <c r="N98" s="254">
        <v>111.1</v>
      </c>
      <c r="O98" s="255">
        <v>111</v>
      </c>
      <c r="P98" s="248">
        <v>110.1</v>
      </c>
      <c r="Q98" s="255">
        <v>110.9</v>
      </c>
      <c r="R98" s="223"/>
      <c r="S98" s="306">
        <v>108.5</v>
      </c>
      <c r="T98" s="307">
        <v>114</v>
      </c>
      <c r="U98" s="308">
        <v>113.7</v>
      </c>
      <c r="V98" s="361">
        <v>110.1</v>
      </c>
      <c r="W98" s="309">
        <v>113.6</v>
      </c>
      <c r="X98" s="307">
        <v>117.1</v>
      </c>
      <c r="Y98" s="308">
        <v>109.4</v>
      </c>
      <c r="Z98" s="366">
        <v>110.3</v>
      </c>
      <c r="AA98" s="367">
        <v>109.8</v>
      </c>
      <c r="AB98" s="220"/>
      <c r="AC98" s="235"/>
    </row>
    <row r="99" spans="1:29" ht="18" customHeight="1" x14ac:dyDescent="0.25">
      <c r="A99" s="220"/>
      <c r="B99" s="207">
        <v>12</v>
      </c>
      <c r="C99" s="208">
        <v>2014</v>
      </c>
      <c r="D99" s="256">
        <v>111.3</v>
      </c>
      <c r="E99" s="257">
        <v>110.9</v>
      </c>
      <c r="F99" s="258">
        <v>111.3</v>
      </c>
      <c r="G99" s="259">
        <v>111</v>
      </c>
      <c r="H99" s="256">
        <v>111.3</v>
      </c>
      <c r="I99" s="260">
        <v>110.5</v>
      </c>
      <c r="J99" s="261">
        <v>111.1</v>
      </c>
      <c r="K99" s="258">
        <v>110.8</v>
      </c>
      <c r="L99" s="256">
        <v>110.5</v>
      </c>
      <c r="M99" s="260">
        <v>112.3</v>
      </c>
      <c r="N99" s="262">
        <v>110.8</v>
      </c>
      <c r="O99" s="263">
        <v>110.6</v>
      </c>
      <c r="P99" s="256">
        <v>109.7</v>
      </c>
      <c r="Q99" s="263">
        <v>110.6</v>
      </c>
      <c r="R99" s="223"/>
      <c r="S99" s="312">
        <v>108.1</v>
      </c>
      <c r="T99" s="313">
        <v>114</v>
      </c>
      <c r="U99" s="314">
        <v>110.5</v>
      </c>
      <c r="V99" s="362">
        <v>105</v>
      </c>
      <c r="W99" s="315">
        <v>113.6</v>
      </c>
      <c r="X99" s="313">
        <v>117.1</v>
      </c>
      <c r="Y99" s="314">
        <v>109.4</v>
      </c>
      <c r="Z99" s="368">
        <v>105.3</v>
      </c>
      <c r="AA99" s="369">
        <v>104.8</v>
      </c>
      <c r="AB99" s="220"/>
      <c r="AC99" s="235"/>
    </row>
    <row r="100" spans="1:29" ht="18" customHeight="1" x14ac:dyDescent="0.25">
      <c r="A100" s="220"/>
      <c r="B100" s="203">
        <v>1</v>
      </c>
      <c r="C100" s="204">
        <v>2015</v>
      </c>
      <c r="D100" s="264">
        <v>111.2</v>
      </c>
      <c r="E100" s="265">
        <v>110.8</v>
      </c>
      <c r="F100" s="266">
        <v>111.1</v>
      </c>
      <c r="G100" s="267">
        <v>111</v>
      </c>
      <c r="H100" s="264">
        <v>111.5</v>
      </c>
      <c r="I100" s="268">
        <v>110</v>
      </c>
      <c r="J100" s="269">
        <v>110.9</v>
      </c>
      <c r="K100" s="266">
        <v>110.5</v>
      </c>
      <c r="L100" s="264">
        <v>110.6</v>
      </c>
      <c r="M100" s="268">
        <v>112</v>
      </c>
      <c r="N100" s="270">
        <v>110.7</v>
      </c>
      <c r="O100" s="271">
        <v>110.2</v>
      </c>
      <c r="P100" s="264">
        <v>109.9</v>
      </c>
      <c r="Q100" s="271">
        <v>110.6</v>
      </c>
      <c r="R100" s="223"/>
      <c r="S100" s="299">
        <v>106.1</v>
      </c>
      <c r="T100" s="300">
        <v>111.3</v>
      </c>
      <c r="U100" s="301">
        <v>107.2</v>
      </c>
      <c r="V100" s="363">
        <v>95.3</v>
      </c>
      <c r="W100" s="303">
        <v>114.8</v>
      </c>
      <c r="X100" s="300">
        <v>118</v>
      </c>
      <c r="Y100" s="301">
        <v>110.1</v>
      </c>
      <c r="Z100" s="370">
        <v>95.6</v>
      </c>
      <c r="AA100" s="371">
        <v>94.9</v>
      </c>
      <c r="AB100" s="220"/>
      <c r="AC100" s="235"/>
    </row>
    <row r="101" spans="1:29" ht="18" customHeight="1" x14ac:dyDescent="0.25">
      <c r="A101" s="220"/>
      <c r="B101" s="205">
        <v>2</v>
      </c>
      <c r="C101" s="206">
        <v>2015</v>
      </c>
      <c r="D101" s="248">
        <v>111.6</v>
      </c>
      <c r="E101" s="249">
        <v>111.5</v>
      </c>
      <c r="F101" s="250">
        <v>112.1</v>
      </c>
      <c r="G101" s="251">
        <v>111.5</v>
      </c>
      <c r="H101" s="248">
        <v>112.2</v>
      </c>
      <c r="I101" s="252">
        <v>110.5</v>
      </c>
      <c r="J101" s="253">
        <v>112.1</v>
      </c>
      <c r="K101" s="250">
        <v>111.1</v>
      </c>
      <c r="L101" s="248">
        <v>111.21</v>
      </c>
      <c r="M101" s="252">
        <v>112.7</v>
      </c>
      <c r="N101" s="254">
        <v>111.9</v>
      </c>
      <c r="O101" s="255">
        <v>111.1</v>
      </c>
      <c r="P101" s="248">
        <v>110.6</v>
      </c>
      <c r="Q101" s="255">
        <v>111.2</v>
      </c>
      <c r="R101" s="223"/>
      <c r="S101" s="306">
        <v>105.5</v>
      </c>
      <c r="T101" s="307">
        <v>111.9</v>
      </c>
      <c r="U101" s="308">
        <v>102.4</v>
      </c>
      <c r="V101" s="361">
        <v>85.7</v>
      </c>
      <c r="W101" s="309">
        <v>115.4</v>
      </c>
      <c r="X101" s="307">
        <v>118.2</v>
      </c>
      <c r="Y101" s="308">
        <v>110.5</v>
      </c>
      <c r="Z101" s="366">
        <v>86.2</v>
      </c>
      <c r="AA101" s="367">
        <v>85.2</v>
      </c>
      <c r="AB101" s="220"/>
      <c r="AC101" s="235"/>
    </row>
    <row r="102" spans="1:29" ht="18" customHeight="1" x14ac:dyDescent="0.25">
      <c r="A102" s="220"/>
      <c r="B102" s="205">
        <v>3</v>
      </c>
      <c r="C102" s="206">
        <v>2015</v>
      </c>
      <c r="D102" s="248">
        <v>113.3</v>
      </c>
      <c r="E102" s="249">
        <v>112.7</v>
      </c>
      <c r="F102" s="250">
        <v>113.5</v>
      </c>
      <c r="G102" s="251">
        <v>112.9</v>
      </c>
      <c r="H102" s="248">
        <v>113.9</v>
      </c>
      <c r="I102" s="252">
        <v>112.2</v>
      </c>
      <c r="J102" s="253">
        <v>113.5</v>
      </c>
      <c r="K102" s="250">
        <v>112.7</v>
      </c>
      <c r="L102" s="248">
        <v>112.5</v>
      </c>
      <c r="M102" s="252">
        <v>114.5</v>
      </c>
      <c r="N102" s="254">
        <v>113.5</v>
      </c>
      <c r="O102" s="255">
        <v>112.6</v>
      </c>
      <c r="P102" s="248">
        <v>111.7</v>
      </c>
      <c r="Q102" s="255">
        <v>112.7</v>
      </c>
      <c r="R102" s="223"/>
      <c r="S102" s="306">
        <v>105.2</v>
      </c>
      <c r="T102" s="307">
        <v>111.3</v>
      </c>
      <c r="U102" s="308">
        <v>104.3</v>
      </c>
      <c r="V102" s="361">
        <v>92.6</v>
      </c>
      <c r="W102" s="309">
        <v>115.5</v>
      </c>
      <c r="X102" s="307">
        <v>118.2</v>
      </c>
      <c r="Y102" s="308">
        <v>110.5</v>
      </c>
      <c r="Z102" s="366">
        <v>93</v>
      </c>
      <c r="AA102" s="367">
        <v>92.2</v>
      </c>
      <c r="AB102" s="220"/>
      <c r="AC102" s="235"/>
    </row>
    <row r="103" spans="1:29" ht="18" customHeight="1" x14ac:dyDescent="0.25">
      <c r="A103" s="220"/>
      <c r="B103" s="205">
        <v>4</v>
      </c>
      <c r="C103" s="206">
        <v>2015</v>
      </c>
      <c r="D103" s="248">
        <v>114.2</v>
      </c>
      <c r="E103" s="249">
        <v>113.7</v>
      </c>
      <c r="F103" s="250">
        <v>114.5</v>
      </c>
      <c r="G103" s="251">
        <v>114</v>
      </c>
      <c r="H103" s="248">
        <v>115</v>
      </c>
      <c r="I103" s="252">
        <v>113.4</v>
      </c>
      <c r="J103" s="253">
        <v>114.4</v>
      </c>
      <c r="K103" s="250">
        <v>113.8</v>
      </c>
      <c r="L103" s="248">
        <v>113.8</v>
      </c>
      <c r="M103" s="252">
        <v>115.6</v>
      </c>
      <c r="N103" s="254">
        <v>114.4</v>
      </c>
      <c r="O103" s="255">
        <v>113.8</v>
      </c>
      <c r="P103" s="248">
        <v>112.8</v>
      </c>
      <c r="Q103" s="255">
        <v>113.9</v>
      </c>
      <c r="R103" s="223"/>
      <c r="S103" s="306">
        <v>102.2</v>
      </c>
      <c r="T103" s="307">
        <v>107.4</v>
      </c>
      <c r="U103" s="308">
        <v>102.6</v>
      </c>
      <c r="V103" s="361">
        <v>104.1</v>
      </c>
      <c r="W103" s="309">
        <v>115.7</v>
      </c>
      <c r="X103" s="307">
        <v>116.3</v>
      </c>
      <c r="Y103" s="308">
        <v>108.8</v>
      </c>
      <c r="Z103" s="366">
        <v>104.5</v>
      </c>
      <c r="AA103" s="367">
        <v>103.7</v>
      </c>
      <c r="AB103" s="220"/>
      <c r="AC103" s="235"/>
    </row>
    <row r="104" spans="1:29" ht="18" customHeight="1" x14ac:dyDescent="0.25">
      <c r="A104" s="220"/>
      <c r="B104" s="205">
        <v>5</v>
      </c>
      <c r="C104" s="206">
        <v>2015</v>
      </c>
      <c r="D104" s="248">
        <v>114.4</v>
      </c>
      <c r="E104" s="249">
        <v>113.8</v>
      </c>
      <c r="F104" s="250">
        <v>114.8</v>
      </c>
      <c r="G104" s="251">
        <v>114.2</v>
      </c>
      <c r="H104" s="248">
        <v>115.3</v>
      </c>
      <c r="I104" s="252">
        <v>113.7</v>
      </c>
      <c r="J104" s="253">
        <v>114.6</v>
      </c>
      <c r="K104" s="250">
        <v>114</v>
      </c>
      <c r="L104" s="248">
        <v>114</v>
      </c>
      <c r="M104" s="252">
        <v>116</v>
      </c>
      <c r="N104" s="254">
        <v>114.7</v>
      </c>
      <c r="O104" s="255">
        <v>114.1</v>
      </c>
      <c r="P104" s="248">
        <v>113</v>
      </c>
      <c r="Q104" s="255">
        <v>114</v>
      </c>
      <c r="R104" s="223"/>
      <c r="S104" s="306">
        <v>100.7</v>
      </c>
      <c r="T104" s="307">
        <v>105.6</v>
      </c>
      <c r="U104" s="308">
        <v>101.8</v>
      </c>
      <c r="V104" s="361">
        <v>103.6</v>
      </c>
      <c r="W104" s="309">
        <v>115.9</v>
      </c>
      <c r="X104" s="307">
        <v>116.3</v>
      </c>
      <c r="Y104" s="308">
        <v>108.7</v>
      </c>
      <c r="Z104" s="366">
        <v>104</v>
      </c>
      <c r="AA104" s="367">
        <v>103.2</v>
      </c>
      <c r="AB104" s="220"/>
      <c r="AC104" s="235" t="s">
        <v>77</v>
      </c>
    </row>
    <row r="105" spans="1:29" ht="18" customHeight="1" x14ac:dyDescent="0.25">
      <c r="A105" s="220"/>
      <c r="B105" s="205">
        <v>6</v>
      </c>
      <c r="C105" s="206">
        <v>2015</v>
      </c>
      <c r="D105" s="248">
        <v>114.8</v>
      </c>
      <c r="E105" s="249">
        <v>114.3</v>
      </c>
      <c r="F105" s="250">
        <v>115.4</v>
      </c>
      <c r="G105" s="251">
        <v>115</v>
      </c>
      <c r="H105" s="248">
        <v>115.8</v>
      </c>
      <c r="I105" s="252">
        <v>114</v>
      </c>
      <c r="J105" s="253">
        <v>114.9</v>
      </c>
      <c r="K105" s="250">
        <v>114.5</v>
      </c>
      <c r="L105" s="248">
        <v>114.3</v>
      </c>
      <c r="M105" s="252">
        <v>116.5</v>
      </c>
      <c r="N105" s="254">
        <v>115.1</v>
      </c>
      <c r="O105" s="255">
        <v>114.7</v>
      </c>
      <c r="P105" s="248">
        <v>113.8</v>
      </c>
      <c r="Q105" s="255">
        <v>114.7</v>
      </c>
      <c r="R105" s="223"/>
      <c r="S105" s="306">
        <v>100.9</v>
      </c>
      <c r="T105" s="307">
        <v>105.3</v>
      </c>
      <c r="U105" s="308">
        <v>103</v>
      </c>
      <c r="V105" s="361">
        <v>108.2</v>
      </c>
      <c r="W105" s="309">
        <v>115.9</v>
      </c>
      <c r="X105" s="307">
        <v>116.6</v>
      </c>
      <c r="Y105" s="308">
        <v>108.4</v>
      </c>
      <c r="Z105" s="366">
        <v>108.5</v>
      </c>
      <c r="AA105" s="367">
        <v>107.9</v>
      </c>
      <c r="AB105" s="220"/>
      <c r="AC105" s="235" t="s">
        <v>77</v>
      </c>
    </row>
    <row r="106" spans="1:29" ht="18" customHeight="1" x14ac:dyDescent="0.25">
      <c r="A106" s="220"/>
      <c r="B106" s="205">
        <v>7</v>
      </c>
      <c r="C106" s="206">
        <v>2015</v>
      </c>
      <c r="D106" s="248">
        <v>115.9</v>
      </c>
      <c r="E106" s="249">
        <v>115.5</v>
      </c>
      <c r="F106" s="250">
        <v>117.2</v>
      </c>
      <c r="G106" s="251">
        <v>116.3</v>
      </c>
      <c r="H106" s="248">
        <v>116.8</v>
      </c>
      <c r="I106" s="252">
        <v>115.7</v>
      </c>
      <c r="J106" s="253">
        <v>116.2</v>
      </c>
      <c r="K106" s="250">
        <v>116</v>
      </c>
      <c r="L106" s="248">
        <v>115.4</v>
      </c>
      <c r="M106" s="252">
        <v>117.8</v>
      </c>
      <c r="N106" s="254">
        <v>116.1</v>
      </c>
      <c r="O106" s="255">
        <v>116</v>
      </c>
      <c r="P106" s="248">
        <v>114.5</v>
      </c>
      <c r="Q106" s="255">
        <v>115.6</v>
      </c>
      <c r="R106" s="223"/>
      <c r="S106" s="306">
        <v>100.7</v>
      </c>
      <c r="T106" s="307">
        <v>105.4</v>
      </c>
      <c r="U106" s="308">
        <v>101.3</v>
      </c>
      <c r="V106" s="361">
        <v>108.6</v>
      </c>
      <c r="W106" s="309">
        <v>116.1</v>
      </c>
      <c r="X106" s="307">
        <v>117.2</v>
      </c>
      <c r="Y106" s="308">
        <v>107.8</v>
      </c>
      <c r="Z106" s="366">
        <v>108.9</v>
      </c>
      <c r="AA106" s="367">
        <v>108.2</v>
      </c>
      <c r="AB106" s="220"/>
      <c r="AC106" s="235" t="s">
        <v>77</v>
      </c>
    </row>
    <row r="107" spans="1:29" ht="18" customHeight="1" x14ac:dyDescent="0.25">
      <c r="A107" s="220"/>
      <c r="B107" s="205">
        <v>8</v>
      </c>
      <c r="C107" s="206">
        <v>2015</v>
      </c>
      <c r="D107" s="248">
        <v>115.9</v>
      </c>
      <c r="E107" s="249">
        <v>115.6</v>
      </c>
      <c r="F107" s="250">
        <v>117.3</v>
      </c>
      <c r="G107" s="251">
        <v>116.3</v>
      </c>
      <c r="H107" s="248">
        <v>116.9</v>
      </c>
      <c r="I107" s="252">
        <v>115.5</v>
      </c>
      <c r="J107" s="253">
        <v>116.3</v>
      </c>
      <c r="K107" s="250">
        <v>115.9</v>
      </c>
      <c r="L107" s="248">
        <v>115.6</v>
      </c>
      <c r="M107" s="252">
        <v>117.8</v>
      </c>
      <c r="N107" s="254">
        <v>116.2</v>
      </c>
      <c r="O107" s="255">
        <v>116</v>
      </c>
      <c r="P107" s="248">
        <v>114.6</v>
      </c>
      <c r="Q107" s="255">
        <v>115.7</v>
      </c>
      <c r="R107" s="223"/>
      <c r="S107" s="306">
        <v>101.1</v>
      </c>
      <c r="T107" s="307">
        <v>106</v>
      </c>
      <c r="U107" s="308">
        <v>101.2</v>
      </c>
      <c r="V107" s="361">
        <v>101.4</v>
      </c>
      <c r="W107" s="309">
        <v>116.3</v>
      </c>
      <c r="X107" s="307">
        <v>117.8</v>
      </c>
      <c r="Y107" s="308">
        <v>108.1</v>
      </c>
      <c r="Z107" s="366">
        <v>101.9</v>
      </c>
      <c r="AA107" s="367">
        <v>101</v>
      </c>
      <c r="AB107" s="220"/>
      <c r="AC107" s="235" t="s">
        <v>77</v>
      </c>
    </row>
    <row r="108" spans="1:29" ht="18" customHeight="1" x14ac:dyDescent="0.25">
      <c r="A108" s="220"/>
      <c r="B108" s="205">
        <v>9</v>
      </c>
      <c r="C108" s="206">
        <v>2015</v>
      </c>
      <c r="D108" s="248">
        <v>116.4</v>
      </c>
      <c r="E108" s="249">
        <v>115.7</v>
      </c>
      <c r="F108" s="250">
        <v>117.3</v>
      </c>
      <c r="G108" s="251">
        <v>116.4</v>
      </c>
      <c r="H108" s="248">
        <v>116.8</v>
      </c>
      <c r="I108" s="252">
        <v>115.3</v>
      </c>
      <c r="J108" s="253">
        <v>116.2</v>
      </c>
      <c r="K108" s="250">
        <v>115.9</v>
      </c>
      <c r="L108" s="248">
        <v>115.3</v>
      </c>
      <c r="M108" s="252">
        <v>117.8</v>
      </c>
      <c r="N108" s="254">
        <v>116.3</v>
      </c>
      <c r="O108" s="255">
        <v>115.8</v>
      </c>
      <c r="P108" s="248">
        <v>114.4</v>
      </c>
      <c r="Q108" s="255">
        <v>115.9</v>
      </c>
      <c r="R108" s="223"/>
      <c r="S108" s="306">
        <v>100.6</v>
      </c>
      <c r="T108" s="307">
        <v>105.7</v>
      </c>
      <c r="U108" s="308">
        <v>98.1</v>
      </c>
      <c r="V108" s="361">
        <v>96.4</v>
      </c>
      <c r="W108" s="309">
        <v>117.4</v>
      </c>
      <c r="X108" s="307">
        <v>118.3</v>
      </c>
      <c r="Y108" s="308">
        <v>108.9</v>
      </c>
      <c r="Z108" s="366">
        <v>96.8</v>
      </c>
      <c r="AA108" s="367">
        <v>95.9</v>
      </c>
      <c r="AB108" s="220"/>
      <c r="AC108" s="235" t="s">
        <v>77</v>
      </c>
    </row>
    <row r="109" spans="1:29" ht="18" customHeight="1" x14ac:dyDescent="0.25">
      <c r="A109" s="220"/>
      <c r="B109" s="205">
        <v>10</v>
      </c>
      <c r="C109" s="206">
        <v>2015</v>
      </c>
      <c r="D109" s="248">
        <v>116.8</v>
      </c>
      <c r="E109" s="249">
        <v>116</v>
      </c>
      <c r="F109" s="250">
        <v>117.5</v>
      </c>
      <c r="G109" s="251">
        <v>116.6</v>
      </c>
      <c r="H109" s="248">
        <v>116.9</v>
      </c>
      <c r="I109" s="252">
        <v>115.6</v>
      </c>
      <c r="J109" s="253">
        <v>116.4</v>
      </c>
      <c r="K109" s="250">
        <v>116.1</v>
      </c>
      <c r="L109" s="248">
        <v>115.4</v>
      </c>
      <c r="M109" s="252">
        <v>118</v>
      </c>
      <c r="N109" s="254">
        <v>116.7</v>
      </c>
      <c r="O109" s="255">
        <v>116</v>
      </c>
      <c r="P109" s="248">
        <v>114.4</v>
      </c>
      <c r="Q109" s="255">
        <v>116</v>
      </c>
      <c r="R109" s="223"/>
      <c r="S109" s="306">
        <v>100.9</v>
      </c>
      <c r="T109" s="307">
        <v>105.7</v>
      </c>
      <c r="U109" s="308">
        <v>95.6</v>
      </c>
      <c r="V109" s="361">
        <v>101.4</v>
      </c>
      <c r="W109" s="309">
        <v>119.3</v>
      </c>
      <c r="X109" s="307">
        <v>119.5</v>
      </c>
      <c r="Y109" s="308">
        <v>109.7</v>
      </c>
      <c r="Z109" s="366">
        <v>101.8</v>
      </c>
      <c r="AA109" s="367">
        <v>100.9</v>
      </c>
      <c r="AB109" s="220"/>
      <c r="AC109" s="235" t="s">
        <v>77</v>
      </c>
    </row>
    <row r="110" spans="1:29" ht="18" customHeight="1" x14ac:dyDescent="0.25">
      <c r="A110" s="220"/>
      <c r="B110" s="205">
        <v>11</v>
      </c>
      <c r="C110" s="206">
        <v>2015</v>
      </c>
      <c r="D110" s="248">
        <v>117</v>
      </c>
      <c r="E110" s="249">
        <v>116.1</v>
      </c>
      <c r="F110" s="250">
        <v>117.4</v>
      </c>
      <c r="G110" s="251">
        <v>116.6</v>
      </c>
      <c r="H110" s="248">
        <v>117.1</v>
      </c>
      <c r="I110" s="252">
        <v>115.4</v>
      </c>
      <c r="J110" s="253">
        <v>116.5</v>
      </c>
      <c r="K110" s="250">
        <v>116</v>
      </c>
      <c r="L110" s="248">
        <v>115.6</v>
      </c>
      <c r="M110" s="252">
        <v>118</v>
      </c>
      <c r="N110" s="254">
        <v>116.8</v>
      </c>
      <c r="O110" s="255">
        <v>116.1</v>
      </c>
      <c r="P110" s="248">
        <v>114.8</v>
      </c>
      <c r="Q110" s="255">
        <v>116.2</v>
      </c>
      <c r="R110" s="223"/>
      <c r="S110" s="306">
        <v>100.9</v>
      </c>
      <c r="T110" s="307">
        <v>105.6</v>
      </c>
      <c r="U110" s="308">
        <v>95.9</v>
      </c>
      <c r="V110" s="361">
        <v>100.5</v>
      </c>
      <c r="W110" s="309">
        <v>119.4</v>
      </c>
      <c r="X110" s="307">
        <v>120.2</v>
      </c>
      <c r="Y110" s="308">
        <v>110.1</v>
      </c>
      <c r="Z110" s="366">
        <v>100.9</v>
      </c>
      <c r="AA110" s="367">
        <v>100.1</v>
      </c>
      <c r="AB110" s="220"/>
      <c r="AC110" s="235" t="s">
        <v>77</v>
      </c>
    </row>
    <row r="111" spans="1:29" ht="18" customHeight="1" x14ac:dyDescent="0.25">
      <c r="A111" s="220"/>
      <c r="B111" s="207">
        <v>12</v>
      </c>
      <c r="C111" s="208">
        <v>2015</v>
      </c>
      <c r="D111" s="256">
        <v>117.4</v>
      </c>
      <c r="E111" s="257">
        <v>116.3</v>
      </c>
      <c r="F111" s="258">
        <v>117.7</v>
      </c>
      <c r="G111" s="259">
        <v>117.2</v>
      </c>
      <c r="H111" s="256">
        <v>117.7</v>
      </c>
      <c r="I111" s="260">
        <v>115.7</v>
      </c>
      <c r="J111" s="261">
        <v>117</v>
      </c>
      <c r="K111" s="258">
        <v>116.3</v>
      </c>
      <c r="L111" s="256">
        <v>116.1</v>
      </c>
      <c r="M111" s="260">
        <v>118.4</v>
      </c>
      <c r="N111" s="262">
        <v>117.2</v>
      </c>
      <c r="O111" s="263">
        <v>116.4</v>
      </c>
      <c r="P111" s="256">
        <v>115.1</v>
      </c>
      <c r="Q111" s="263">
        <v>116.7</v>
      </c>
      <c r="R111" s="223"/>
      <c r="S111" s="312">
        <v>100.6</v>
      </c>
      <c r="T111" s="313">
        <v>106</v>
      </c>
      <c r="U111" s="314">
        <v>97.6</v>
      </c>
      <c r="V111" s="362">
        <v>100.2</v>
      </c>
      <c r="W111" s="315">
        <v>119.4</v>
      </c>
      <c r="X111" s="313">
        <v>120.3</v>
      </c>
      <c r="Y111" s="314">
        <v>110.2</v>
      </c>
      <c r="Z111" s="368">
        <v>100.6</v>
      </c>
      <c r="AA111" s="369">
        <v>99.7</v>
      </c>
      <c r="AB111" s="220"/>
      <c r="AC111" s="235" t="s">
        <v>77</v>
      </c>
    </row>
    <row r="112" spans="1:29" ht="18" customHeight="1" x14ac:dyDescent="0.25">
      <c r="A112" s="220"/>
      <c r="B112" s="203">
        <v>1</v>
      </c>
      <c r="C112" s="204">
        <v>2016</v>
      </c>
      <c r="D112" s="264">
        <v>118.1</v>
      </c>
      <c r="E112" s="265">
        <v>117.2</v>
      </c>
      <c r="F112" s="266">
        <v>118.4</v>
      </c>
      <c r="G112" s="267">
        <v>117.7</v>
      </c>
      <c r="H112" s="264">
        <v>119.1</v>
      </c>
      <c r="I112" s="268">
        <v>116.1</v>
      </c>
      <c r="J112" s="269">
        <v>117.7</v>
      </c>
      <c r="K112" s="266">
        <v>117</v>
      </c>
      <c r="L112" s="264">
        <v>117</v>
      </c>
      <c r="M112" s="268">
        <v>119.3</v>
      </c>
      <c r="N112" s="270">
        <v>118.1</v>
      </c>
      <c r="O112" s="271">
        <v>117.5</v>
      </c>
      <c r="P112" s="264">
        <v>116.5</v>
      </c>
      <c r="Q112" s="271">
        <v>117.6</v>
      </c>
      <c r="R112" s="223"/>
      <c r="S112" s="299">
        <v>103.4</v>
      </c>
      <c r="T112" s="300">
        <v>108.3</v>
      </c>
      <c r="U112" s="301">
        <v>96.8</v>
      </c>
      <c r="V112" s="363">
        <v>93</v>
      </c>
      <c r="W112" s="303">
        <v>125.4</v>
      </c>
      <c r="X112" s="300">
        <v>124.3</v>
      </c>
      <c r="Y112" s="301">
        <v>113.5</v>
      </c>
      <c r="Z112" s="370">
        <v>93.5</v>
      </c>
      <c r="AA112" s="371">
        <v>92.5</v>
      </c>
      <c r="AB112" s="220"/>
      <c r="AC112" s="235" t="s">
        <v>77</v>
      </c>
    </row>
    <row r="113" spans="1:29" ht="18" customHeight="1" x14ac:dyDescent="0.25">
      <c r="A113" s="220"/>
      <c r="B113" s="205">
        <v>2</v>
      </c>
      <c r="C113" s="206">
        <v>2016</v>
      </c>
      <c r="D113" s="248">
        <v>119.4</v>
      </c>
      <c r="E113" s="249">
        <v>119.1</v>
      </c>
      <c r="F113" s="250">
        <v>120.3</v>
      </c>
      <c r="G113" s="251">
        <v>118.9</v>
      </c>
      <c r="H113" s="248">
        <v>120.7</v>
      </c>
      <c r="I113" s="252">
        <v>117.6</v>
      </c>
      <c r="J113" s="253">
        <v>119.7</v>
      </c>
      <c r="K113" s="250">
        <v>118.6</v>
      </c>
      <c r="L113" s="248">
        <v>118.4</v>
      </c>
      <c r="M113" s="252">
        <v>120.9</v>
      </c>
      <c r="N113" s="254">
        <v>119.9</v>
      </c>
      <c r="O113" s="255">
        <v>119</v>
      </c>
      <c r="P113" s="248">
        <v>118.2</v>
      </c>
      <c r="Q113" s="255">
        <v>119</v>
      </c>
      <c r="R113" s="223"/>
      <c r="S113" s="306">
        <v>105.6</v>
      </c>
      <c r="T113" s="307">
        <v>111.4</v>
      </c>
      <c r="U113" s="308">
        <v>97.2</v>
      </c>
      <c r="V113" s="361">
        <v>87.2</v>
      </c>
      <c r="W113" s="309">
        <v>125.9</v>
      </c>
      <c r="X113" s="307">
        <v>123.9</v>
      </c>
      <c r="Y113" s="308">
        <v>114.1</v>
      </c>
      <c r="Z113" s="366">
        <v>87.7</v>
      </c>
      <c r="AA113" s="367">
        <v>86.6</v>
      </c>
      <c r="AB113" s="220"/>
      <c r="AC113" s="235" t="s">
        <v>77</v>
      </c>
    </row>
    <row r="114" spans="1:29" ht="18" customHeight="1" x14ac:dyDescent="0.25">
      <c r="A114" s="220"/>
      <c r="B114" s="205">
        <v>3</v>
      </c>
      <c r="C114" s="206">
        <v>2016</v>
      </c>
      <c r="D114" s="248">
        <v>120.4</v>
      </c>
      <c r="E114" s="249">
        <v>120.1</v>
      </c>
      <c r="F114" s="250">
        <v>121.2</v>
      </c>
      <c r="G114" s="251">
        <v>119.7</v>
      </c>
      <c r="H114" s="248">
        <v>121.7</v>
      </c>
      <c r="I114" s="252">
        <v>118.5</v>
      </c>
      <c r="J114" s="253">
        <v>120.5</v>
      </c>
      <c r="K114" s="250">
        <v>119.5</v>
      </c>
      <c r="L114" s="248">
        <v>119</v>
      </c>
      <c r="M114" s="252">
        <v>121.6</v>
      </c>
      <c r="N114" s="254">
        <v>120.8</v>
      </c>
      <c r="O114" s="255">
        <v>119.8</v>
      </c>
      <c r="P114" s="248">
        <v>119</v>
      </c>
      <c r="Q114" s="255">
        <v>120.1</v>
      </c>
      <c r="R114" s="223"/>
      <c r="S114" s="306">
        <v>105.8</v>
      </c>
      <c r="T114" s="307">
        <v>109.9</v>
      </c>
      <c r="U114" s="308">
        <v>95.6</v>
      </c>
      <c r="V114" s="361">
        <v>88.6</v>
      </c>
      <c r="W114" s="309">
        <v>127.2</v>
      </c>
      <c r="X114" s="307">
        <v>125.2</v>
      </c>
      <c r="Y114" s="308">
        <v>115.3</v>
      </c>
      <c r="Z114" s="366">
        <v>89.1</v>
      </c>
      <c r="AA114" s="367">
        <v>88</v>
      </c>
      <c r="AB114" s="220"/>
      <c r="AC114" s="235" t="s">
        <v>77</v>
      </c>
    </row>
    <row r="115" spans="1:29" ht="18" customHeight="1" x14ac:dyDescent="0.25">
      <c r="A115" s="220"/>
      <c r="B115" s="205">
        <v>4</v>
      </c>
      <c r="C115" s="206">
        <v>2016</v>
      </c>
      <c r="D115" s="248">
        <v>121.2</v>
      </c>
      <c r="E115" s="249">
        <v>121.1</v>
      </c>
      <c r="F115" s="250">
        <v>122.2</v>
      </c>
      <c r="G115" s="251">
        <v>120.7</v>
      </c>
      <c r="H115" s="248">
        <v>122.7</v>
      </c>
      <c r="I115" s="252">
        <v>119.5</v>
      </c>
      <c r="J115" s="253">
        <v>121.6</v>
      </c>
      <c r="K115" s="250">
        <v>120.6</v>
      </c>
      <c r="L115" s="248">
        <v>120.4</v>
      </c>
      <c r="M115" s="252">
        <v>122.6</v>
      </c>
      <c r="N115" s="254">
        <v>121.8</v>
      </c>
      <c r="O115" s="255">
        <v>120.9</v>
      </c>
      <c r="P115" s="248">
        <v>119.9</v>
      </c>
      <c r="Q115" s="255">
        <v>121.5</v>
      </c>
      <c r="R115" s="223"/>
      <c r="S115" s="306">
        <v>106.6</v>
      </c>
      <c r="T115" s="307">
        <v>113.1</v>
      </c>
      <c r="U115" s="308">
        <v>97.3</v>
      </c>
      <c r="V115" s="361">
        <v>97.3</v>
      </c>
      <c r="W115" s="309">
        <v>127.8</v>
      </c>
      <c r="X115" s="307">
        <v>125.2</v>
      </c>
      <c r="Y115" s="308">
        <v>115.4</v>
      </c>
      <c r="Z115" s="366">
        <v>98</v>
      </c>
      <c r="AA115" s="367">
        <v>96.6</v>
      </c>
      <c r="AB115" s="220"/>
      <c r="AC115" s="235" t="s">
        <v>77</v>
      </c>
    </row>
    <row r="116" spans="1:29" ht="18" customHeight="1" x14ac:dyDescent="0.25">
      <c r="A116" s="220"/>
      <c r="B116" s="205">
        <v>5</v>
      </c>
      <c r="C116" s="206">
        <v>2016</v>
      </c>
      <c r="D116" s="248">
        <v>121.2</v>
      </c>
      <c r="E116" s="249">
        <v>121.4</v>
      </c>
      <c r="F116" s="250">
        <v>122.5</v>
      </c>
      <c r="G116" s="251">
        <v>121</v>
      </c>
      <c r="H116" s="248">
        <v>123</v>
      </c>
      <c r="I116" s="252">
        <v>119.8</v>
      </c>
      <c r="J116" s="253">
        <v>122.1</v>
      </c>
      <c r="K116" s="250">
        <v>120.9</v>
      </c>
      <c r="L116" s="248">
        <v>120.8</v>
      </c>
      <c r="M116" s="252">
        <v>122.9</v>
      </c>
      <c r="N116" s="254">
        <v>122</v>
      </c>
      <c r="O116" s="255">
        <v>121.2</v>
      </c>
      <c r="P116" s="248">
        <v>120.1</v>
      </c>
      <c r="Q116" s="255">
        <v>121.7</v>
      </c>
      <c r="R116" s="223"/>
      <c r="S116" s="306">
        <v>109.2</v>
      </c>
      <c r="T116" s="307">
        <v>117.2</v>
      </c>
      <c r="U116" s="308">
        <v>98.8</v>
      </c>
      <c r="V116" s="361">
        <v>97.2</v>
      </c>
      <c r="W116" s="309">
        <v>128.80000000000001</v>
      </c>
      <c r="X116" s="307">
        <v>125.5</v>
      </c>
      <c r="Y116" s="308">
        <v>116.5</v>
      </c>
      <c r="Z116" s="366">
        <v>97.9</v>
      </c>
      <c r="AA116" s="367">
        <v>96.5</v>
      </c>
      <c r="AB116" s="220"/>
      <c r="AC116" s="235" t="s">
        <v>77</v>
      </c>
    </row>
    <row r="117" spans="1:29" ht="18" customHeight="1" x14ac:dyDescent="0.25">
      <c r="A117" s="220"/>
      <c r="B117" s="205">
        <v>6</v>
      </c>
      <c r="C117" s="206">
        <v>2016</v>
      </c>
      <c r="D117" s="248">
        <v>122.1</v>
      </c>
      <c r="E117" s="249">
        <v>122.4</v>
      </c>
      <c r="F117" s="250">
        <v>123</v>
      </c>
      <c r="G117" s="251">
        <v>121.8</v>
      </c>
      <c r="H117" s="248">
        <v>123.7</v>
      </c>
      <c r="I117" s="252">
        <v>120.8</v>
      </c>
      <c r="J117" s="253">
        <v>122.7</v>
      </c>
      <c r="K117" s="250">
        <v>121.8</v>
      </c>
      <c r="L117" s="248">
        <v>121.3</v>
      </c>
      <c r="M117" s="252">
        <v>123.8</v>
      </c>
      <c r="N117" s="254">
        <v>122.5</v>
      </c>
      <c r="O117" s="255">
        <v>121.8</v>
      </c>
      <c r="P117" s="248">
        <v>120.7</v>
      </c>
      <c r="Q117" s="255">
        <v>122.1</v>
      </c>
      <c r="R117" s="223"/>
      <c r="S117" s="306">
        <v>109.4</v>
      </c>
      <c r="T117" s="307">
        <v>117</v>
      </c>
      <c r="U117" s="308">
        <v>101.9</v>
      </c>
      <c r="V117" s="361">
        <v>104.4</v>
      </c>
      <c r="W117" s="309">
        <v>129.9</v>
      </c>
      <c r="X117" s="307">
        <v>126.3</v>
      </c>
      <c r="Y117" s="308">
        <v>118</v>
      </c>
      <c r="Z117" s="366">
        <v>105</v>
      </c>
      <c r="AA117" s="367">
        <v>103.7</v>
      </c>
      <c r="AB117" s="220"/>
      <c r="AC117" s="235" t="s">
        <v>77</v>
      </c>
    </row>
    <row r="118" spans="1:29" ht="18" customHeight="1" x14ac:dyDescent="0.25">
      <c r="A118" s="220"/>
      <c r="B118" s="205">
        <v>7</v>
      </c>
      <c r="C118" s="206">
        <v>2016</v>
      </c>
      <c r="D118" s="248">
        <v>122.9</v>
      </c>
      <c r="E118" s="249">
        <v>123.5</v>
      </c>
      <c r="F118" s="250">
        <v>124.5</v>
      </c>
      <c r="G118" s="251">
        <v>123.1</v>
      </c>
      <c r="H118" s="248">
        <v>124.7</v>
      </c>
      <c r="I118" s="252">
        <v>122.2</v>
      </c>
      <c r="J118" s="253">
        <v>124.1</v>
      </c>
      <c r="K118" s="250">
        <v>123.2</v>
      </c>
      <c r="L118" s="248">
        <v>122.2</v>
      </c>
      <c r="M118" s="252">
        <v>125</v>
      </c>
      <c r="N118" s="254">
        <v>123.3</v>
      </c>
      <c r="O118" s="255">
        <v>122.9</v>
      </c>
      <c r="P118" s="248">
        <v>121.4</v>
      </c>
      <c r="Q118" s="255">
        <v>123.1</v>
      </c>
      <c r="R118" s="223"/>
      <c r="S118" s="306">
        <v>108.8</v>
      </c>
      <c r="T118" s="307">
        <v>115.8</v>
      </c>
      <c r="U118" s="308">
        <v>102.4</v>
      </c>
      <c r="V118" s="361">
        <v>108.3</v>
      </c>
      <c r="W118" s="309">
        <v>130.5</v>
      </c>
      <c r="X118" s="307">
        <v>125.8</v>
      </c>
      <c r="Y118" s="308">
        <v>117.6</v>
      </c>
      <c r="Z118" s="366">
        <v>108.9</v>
      </c>
      <c r="AA118" s="367">
        <v>107.7</v>
      </c>
      <c r="AB118" s="220"/>
      <c r="AC118" s="235" t="s">
        <v>77</v>
      </c>
    </row>
    <row r="119" spans="1:29" ht="18" customHeight="1" x14ac:dyDescent="0.25">
      <c r="A119" s="220"/>
      <c r="B119" s="205">
        <v>8</v>
      </c>
      <c r="C119" s="206">
        <v>2016</v>
      </c>
      <c r="D119" s="248">
        <v>122.7</v>
      </c>
      <c r="E119" s="249">
        <v>123.5</v>
      </c>
      <c r="F119" s="250">
        <v>124.3</v>
      </c>
      <c r="G119" s="251">
        <v>122.9</v>
      </c>
      <c r="H119" s="248">
        <v>124.6</v>
      </c>
      <c r="I119" s="252">
        <v>121.9</v>
      </c>
      <c r="J119" s="253">
        <v>123.8</v>
      </c>
      <c r="K119" s="250">
        <v>122.8</v>
      </c>
      <c r="L119" s="248">
        <v>122.2</v>
      </c>
      <c r="M119" s="252">
        <v>124.6</v>
      </c>
      <c r="N119" s="254">
        <v>123.2</v>
      </c>
      <c r="O119" s="255">
        <v>122.7</v>
      </c>
      <c r="P119" s="248">
        <v>121.4</v>
      </c>
      <c r="Q119" s="255">
        <v>122.8</v>
      </c>
      <c r="R119" s="223"/>
      <c r="S119" s="306">
        <v>110.1</v>
      </c>
      <c r="T119" s="307">
        <v>116.1</v>
      </c>
      <c r="U119" s="308">
        <v>102.9</v>
      </c>
      <c r="V119" s="361">
        <v>101.4</v>
      </c>
      <c r="W119" s="309">
        <v>131.1</v>
      </c>
      <c r="X119" s="307">
        <v>126.7</v>
      </c>
      <c r="Y119" s="308">
        <v>118.5</v>
      </c>
      <c r="Z119" s="386">
        <v>102</v>
      </c>
      <c r="AA119" s="367">
        <v>100.7</v>
      </c>
      <c r="AB119" s="220"/>
      <c r="AC119" s="235" t="s">
        <v>77</v>
      </c>
    </row>
    <row r="120" spans="1:29" ht="18" customHeight="1" x14ac:dyDescent="0.25">
      <c r="A120" s="220"/>
      <c r="B120" s="205">
        <v>9</v>
      </c>
      <c r="C120" s="206">
        <v>2016</v>
      </c>
      <c r="D120" s="248">
        <v>123.3</v>
      </c>
      <c r="E120" s="249">
        <v>123.7</v>
      </c>
      <c r="F120" s="250">
        <v>124.6</v>
      </c>
      <c r="G120" s="251">
        <v>123.2</v>
      </c>
      <c r="H120" s="248">
        <v>125</v>
      </c>
      <c r="I120" s="252">
        <v>122.2</v>
      </c>
      <c r="J120" s="253">
        <v>124.4</v>
      </c>
      <c r="K120" s="250">
        <v>123.1</v>
      </c>
      <c r="L120" s="248">
        <v>122.2</v>
      </c>
      <c r="M120" s="252">
        <v>125.1</v>
      </c>
      <c r="N120" s="254">
        <v>123.2</v>
      </c>
      <c r="O120" s="255">
        <v>122.7</v>
      </c>
      <c r="P120" s="248">
        <v>121.4</v>
      </c>
      <c r="Q120" s="255">
        <v>123.1</v>
      </c>
      <c r="R120" s="223"/>
      <c r="S120" s="306">
        <v>109.1</v>
      </c>
      <c r="T120" s="307">
        <v>115.7</v>
      </c>
      <c r="U120" s="308">
        <v>101</v>
      </c>
      <c r="V120" s="361">
        <v>96.8</v>
      </c>
      <c r="W120" s="309">
        <v>131.1</v>
      </c>
      <c r="X120" s="307">
        <v>126.7</v>
      </c>
      <c r="Y120" s="308">
        <v>118.6</v>
      </c>
      <c r="Z120" s="386">
        <v>97.6</v>
      </c>
      <c r="AA120" s="367">
        <v>96.1</v>
      </c>
      <c r="AB120" s="220"/>
      <c r="AC120" s="235" t="s">
        <v>77</v>
      </c>
    </row>
    <row r="121" spans="1:29" ht="18" customHeight="1" x14ac:dyDescent="0.25">
      <c r="A121" s="220"/>
      <c r="B121" s="205">
        <v>10</v>
      </c>
      <c r="C121" s="206">
        <v>2016</v>
      </c>
      <c r="D121" s="248">
        <v>123.9</v>
      </c>
      <c r="E121" s="249">
        <v>124.1</v>
      </c>
      <c r="F121" s="250">
        <v>125</v>
      </c>
      <c r="G121" s="251">
        <v>123.8</v>
      </c>
      <c r="H121" s="248">
        <v>125.3</v>
      </c>
      <c r="I121" s="252">
        <v>122.7</v>
      </c>
      <c r="J121" s="253">
        <v>125.3</v>
      </c>
      <c r="K121" s="250">
        <v>123.7</v>
      </c>
      <c r="L121" s="248">
        <v>123</v>
      </c>
      <c r="M121" s="252">
        <v>125.6</v>
      </c>
      <c r="N121" s="254">
        <v>123.8</v>
      </c>
      <c r="O121" s="255">
        <v>123.4</v>
      </c>
      <c r="P121" s="248">
        <v>122.3</v>
      </c>
      <c r="Q121" s="255">
        <v>123.7</v>
      </c>
      <c r="R121" s="223"/>
      <c r="S121" s="306">
        <v>109.6</v>
      </c>
      <c r="T121" s="307">
        <v>115.7</v>
      </c>
      <c r="U121" s="308">
        <v>101.8</v>
      </c>
      <c r="V121" s="361">
        <v>99</v>
      </c>
      <c r="W121" s="309">
        <v>130.9</v>
      </c>
      <c r="X121" s="307">
        <v>126.6</v>
      </c>
      <c r="Y121" s="308">
        <v>118.4</v>
      </c>
      <c r="Z121" s="386">
        <v>99.7</v>
      </c>
      <c r="AA121" s="367">
        <v>98.3</v>
      </c>
      <c r="AB121" s="220"/>
      <c r="AC121" s="235" t="s">
        <v>77</v>
      </c>
    </row>
    <row r="122" spans="1:29" ht="18" customHeight="1" x14ac:dyDescent="0.25">
      <c r="A122" s="220"/>
      <c r="B122" s="205">
        <v>11</v>
      </c>
      <c r="C122" s="206">
        <v>2016</v>
      </c>
      <c r="D122" s="248">
        <v>124.4</v>
      </c>
      <c r="E122" s="249">
        <v>124.6</v>
      </c>
      <c r="F122" s="250">
        <v>125.2</v>
      </c>
      <c r="G122" s="251">
        <v>124</v>
      </c>
      <c r="H122" s="248">
        <v>125.6</v>
      </c>
      <c r="I122" s="252">
        <v>123.1</v>
      </c>
      <c r="J122" s="253">
        <v>125.7</v>
      </c>
      <c r="K122" s="250">
        <v>124.1</v>
      </c>
      <c r="L122" s="248">
        <v>123.3</v>
      </c>
      <c r="M122" s="252">
        <v>126.1</v>
      </c>
      <c r="N122" s="254">
        <v>124.1</v>
      </c>
      <c r="O122" s="255">
        <v>123.7</v>
      </c>
      <c r="P122" s="248">
        <v>122.5</v>
      </c>
      <c r="Q122" s="255">
        <v>124.2</v>
      </c>
      <c r="R122" s="223"/>
      <c r="S122" s="306">
        <v>109.7</v>
      </c>
      <c r="T122" s="307">
        <v>115.7</v>
      </c>
      <c r="U122" s="308">
        <v>102.3</v>
      </c>
      <c r="V122" s="361">
        <v>104.9</v>
      </c>
      <c r="W122" s="309">
        <v>130.6</v>
      </c>
      <c r="X122" s="307">
        <v>126.4</v>
      </c>
      <c r="Y122" s="308">
        <v>118.1</v>
      </c>
      <c r="Z122" s="386">
        <v>105.6</v>
      </c>
      <c r="AA122" s="367">
        <v>104.3</v>
      </c>
      <c r="AB122" s="220"/>
      <c r="AC122" s="235" t="s">
        <v>77</v>
      </c>
    </row>
    <row r="123" spans="1:29" ht="18" customHeight="1" thickBot="1" x14ac:dyDescent="0.3">
      <c r="A123" s="220"/>
      <c r="B123" s="387">
        <v>12</v>
      </c>
      <c r="C123" s="388">
        <v>2016</v>
      </c>
      <c r="D123" s="390">
        <v>125.8</v>
      </c>
      <c r="E123" s="391">
        <v>125.1</v>
      </c>
      <c r="F123" s="392">
        <v>125.2</v>
      </c>
      <c r="G123" s="393">
        <v>124.5</v>
      </c>
      <c r="H123" s="390">
        <v>126.1</v>
      </c>
      <c r="I123" s="394">
        <v>123.4</v>
      </c>
      <c r="J123" s="395">
        <v>125.8</v>
      </c>
      <c r="K123" s="392">
        <v>124.4</v>
      </c>
      <c r="L123" s="390">
        <v>123.7</v>
      </c>
      <c r="M123" s="394">
        <v>126.4</v>
      </c>
      <c r="N123" s="396">
        <v>124.7</v>
      </c>
      <c r="O123" s="397">
        <v>123.9</v>
      </c>
      <c r="P123" s="390">
        <v>122.5</v>
      </c>
      <c r="Q123" s="397">
        <v>124.8</v>
      </c>
      <c r="R123" s="223"/>
      <c r="S123" s="398">
        <v>114.2</v>
      </c>
      <c r="T123" s="399">
        <v>118.6</v>
      </c>
      <c r="U123" s="400">
        <v>102.8</v>
      </c>
      <c r="V123" s="401">
        <v>101.9</v>
      </c>
      <c r="W123" s="402">
        <v>130</v>
      </c>
      <c r="X123" s="399">
        <v>126.1</v>
      </c>
      <c r="Y123" s="400">
        <v>117.3</v>
      </c>
      <c r="Z123" s="403">
        <v>102.6</v>
      </c>
      <c r="AA123" s="404">
        <v>101.2</v>
      </c>
      <c r="AB123" s="220"/>
      <c r="AC123" s="235" t="s">
        <v>77</v>
      </c>
    </row>
    <row r="124" spans="1:29" ht="18" customHeight="1" x14ac:dyDescent="0.25">
      <c r="A124" s="220"/>
      <c r="B124" s="389"/>
      <c r="C124" s="216"/>
      <c r="D124" s="880" t="s">
        <v>122</v>
      </c>
      <c r="E124" s="881"/>
      <c r="F124" s="881"/>
      <c r="G124" s="881"/>
      <c r="H124" s="881"/>
      <c r="I124" s="881"/>
      <c r="J124" s="881"/>
      <c r="K124" s="881"/>
      <c r="L124" s="881"/>
      <c r="M124" s="881"/>
      <c r="N124" s="881"/>
      <c r="O124" s="881"/>
      <c r="P124" s="881"/>
      <c r="Q124" s="882"/>
      <c r="R124" s="223"/>
      <c r="S124" s="880" t="s">
        <v>118</v>
      </c>
      <c r="T124" s="881"/>
      <c r="U124" s="881"/>
      <c r="V124" s="881"/>
      <c r="W124" s="881"/>
      <c r="X124" s="881"/>
      <c r="Y124" s="881"/>
      <c r="Z124" s="881"/>
      <c r="AA124" s="882"/>
      <c r="AB124" s="220"/>
      <c r="AC124" s="235"/>
    </row>
    <row r="125" spans="1:29" ht="18" customHeight="1" thickBot="1" x14ac:dyDescent="0.3">
      <c r="A125" s="220"/>
      <c r="B125" s="387"/>
      <c r="C125" s="388"/>
      <c r="D125" s="886" t="s">
        <v>123</v>
      </c>
      <c r="E125" s="887"/>
      <c r="F125" s="887"/>
      <c r="G125" s="887"/>
      <c r="H125" s="887"/>
      <c r="I125" s="887"/>
      <c r="J125" s="887"/>
      <c r="K125" s="887"/>
      <c r="L125" s="887"/>
      <c r="M125" s="887"/>
      <c r="N125" s="887"/>
      <c r="O125" s="887"/>
      <c r="P125" s="887"/>
      <c r="Q125" s="888"/>
      <c r="R125" s="223"/>
      <c r="S125" s="886" t="s">
        <v>109</v>
      </c>
      <c r="T125" s="887"/>
      <c r="U125" s="887"/>
      <c r="V125" s="887"/>
      <c r="W125" s="887"/>
      <c r="X125" s="887"/>
      <c r="Y125" s="887"/>
      <c r="Z125" s="887"/>
      <c r="AA125" s="888"/>
      <c r="AB125" s="220"/>
      <c r="AC125" s="235"/>
    </row>
    <row r="126" spans="1:29" ht="7.5" customHeight="1" x14ac:dyDescent="0.25">
      <c r="A126" s="237"/>
      <c r="B126" s="238"/>
      <c r="C126" s="238"/>
      <c r="D126" s="238"/>
      <c r="E126" s="238"/>
      <c r="F126" s="238"/>
      <c r="G126" s="238"/>
      <c r="H126" s="238"/>
      <c r="I126" s="238"/>
      <c r="J126" s="238"/>
      <c r="K126" s="238"/>
      <c r="L126" s="238"/>
      <c r="M126" s="238"/>
      <c r="N126" s="238"/>
      <c r="O126" s="238"/>
      <c r="P126" s="238"/>
      <c r="Q126" s="238"/>
      <c r="R126" s="238"/>
      <c r="S126" s="238"/>
      <c r="T126" s="238"/>
      <c r="U126" s="238"/>
      <c r="V126" s="238"/>
      <c r="W126" s="238"/>
      <c r="X126" s="238"/>
      <c r="Y126" s="238"/>
      <c r="Z126" s="238"/>
      <c r="AA126" s="238"/>
      <c r="AB126" s="239"/>
      <c r="AC126" s="235"/>
    </row>
    <row r="127" spans="1:29" ht="15" hidden="1" customHeight="1" thickBot="1" x14ac:dyDescent="0.3">
      <c r="A127" s="220"/>
      <c r="B127" s="224"/>
      <c r="C127" s="224"/>
      <c r="D127" s="224"/>
      <c r="E127" s="224"/>
      <c r="F127" s="224"/>
      <c r="G127" s="224"/>
      <c r="H127" s="224"/>
      <c r="I127" s="224"/>
      <c r="J127" s="224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  <c r="AA127" s="224"/>
      <c r="AB127" s="224"/>
    </row>
    <row r="128" spans="1:29" s="199" customFormat="1" ht="15" hidden="1" customHeight="1" thickBot="1" x14ac:dyDescent="0.3">
      <c r="A128" s="225"/>
      <c r="B128" s="225"/>
      <c r="C128" s="225"/>
      <c r="D128" s="189">
        <v>0.79176563740000006</v>
      </c>
      <c r="E128" s="189">
        <v>0.78616352199999995</v>
      </c>
      <c r="F128" s="189">
        <v>0.78802206460000002</v>
      </c>
      <c r="G128" s="189">
        <v>0.77519379840000002</v>
      </c>
      <c r="H128" s="189">
        <v>0.77579519009999998</v>
      </c>
      <c r="I128" s="189">
        <v>0.8006405124</v>
      </c>
      <c r="J128" s="189">
        <v>0.78554595439999997</v>
      </c>
      <c r="K128" s="189">
        <v>0.79491255959999996</v>
      </c>
      <c r="L128" s="189">
        <v>0.77279752700000004</v>
      </c>
      <c r="M128" s="189">
        <v>0.78864353310000002</v>
      </c>
      <c r="N128" s="189">
        <v>0.80385852089999998</v>
      </c>
      <c r="O128" s="189">
        <v>0.78247261349999997</v>
      </c>
      <c r="P128" s="189">
        <v>0.78740157479999995</v>
      </c>
      <c r="Q128" s="189">
        <v>0.79744816590000001</v>
      </c>
      <c r="R128" s="219"/>
      <c r="S128" s="198">
        <v>2.2719999999999998</v>
      </c>
      <c r="T128" s="195">
        <v>2.89</v>
      </c>
      <c r="U128" s="200">
        <v>3.22</v>
      </c>
      <c r="V128" s="201">
        <v>4.149</v>
      </c>
      <c r="W128" s="198">
        <v>1.909</v>
      </c>
      <c r="X128" s="195">
        <v>2.1960000000000002</v>
      </c>
      <c r="Y128" s="200">
        <v>1.992</v>
      </c>
      <c r="Z128" s="198">
        <v>4.24</v>
      </c>
      <c r="AA128" s="202">
        <v>4.2050000000000001</v>
      </c>
      <c r="AB128" s="225"/>
    </row>
    <row r="129" spans="1:28" ht="15" hidden="1" customHeight="1" x14ac:dyDescent="0.25">
      <c r="A129" s="220"/>
      <c r="B129" s="220"/>
      <c r="C129" s="220"/>
      <c r="D129" s="220"/>
      <c r="E129" s="220"/>
      <c r="F129" s="220"/>
      <c r="G129" s="220"/>
      <c r="H129" s="220"/>
      <c r="I129" s="220"/>
      <c r="J129" s="220"/>
      <c r="K129" s="220"/>
      <c r="L129" s="220"/>
      <c r="M129" s="220"/>
      <c r="N129" s="220"/>
      <c r="O129" s="220"/>
      <c r="P129" s="220"/>
      <c r="Q129" s="220"/>
      <c r="R129" s="220"/>
      <c r="S129" s="220"/>
      <c r="T129" s="220"/>
      <c r="U129" s="220"/>
      <c r="V129" s="220"/>
      <c r="W129" s="220"/>
      <c r="X129" s="220"/>
      <c r="Y129" s="220"/>
      <c r="Z129" s="220"/>
      <c r="AA129" s="220"/>
      <c r="AB129" s="220"/>
    </row>
    <row r="130" spans="1:28" ht="15" hidden="1" customHeight="1" x14ac:dyDescent="0.25"/>
    <row r="131" spans="1:28" ht="15" hidden="1" customHeight="1" x14ac:dyDescent="0.25">
      <c r="D131" s="354"/>
      <c r="E131" s="354"/>
      <c r="F131" s="354"/>
      <c r="G131" s="354"/>
      <c r="H131" s="354"/>
      <c r="I131" s="354"/>
      <c r="J131" s="354"/>
      <c r="K131" s="354"/>
      <c r="L131" s="354"/>
      <c r="M131" s="354"/>
      <c r="N131" s="354"/>
      <c r="O131" s="354"/>
      <c r="P131" s="354"/>
      <c r="Q131" s="354"/>
      <c r="S131" s="354"/>
      <c r="T131" s="354"/>
      <c r="U131" s="354"/>
      <c r="V131" s="354"/>
      <c r="W131" s="354"/>
      <c r="X131" s="354"/>
      <c r="Y131" s="354"/>
      <c r="Z131" s="354"/>
      <c r="AA131" s="354"/>
    </row>
    <row r="132" spans="1:28" ht="18" hidden="1" customHeight="1" x14ac:dyDescent="0.25">
      <c r="D132" s="354"/>
      <c r="E132" s="354"/>
      <c r="F132" s="354"/>
      <c r="G132" s="354"/>
      <c r="H132" s="354"/>
      <c r="I132" s="354"/>
      <c r="J132" s="354"/>
      <c r="K132" s="354"/>
      <c r="L132" s="354"/>
      <c r="M132" s="354"/>
      <c r="N132" s="354"/>
      <c r="O132" s="354"/>
      <c r="P132" s="354"/>
      <c r="Q132" s="354"/>
      <c r="S132" s="354"/>
      <c r="T132" s="354"/>
      <c r="U132" s="354"/>
      <c r="V132" s="354"/>
      <c r="W132" s="354"/>
      <c r="X132" s="354"/>
      <c r="Y132" s="354"/>
      <c r="Z132" s="354"/>
      <c r="AA132" s="354"/>
    </row>
    <row r="133" spans="1:28" ht="18" hidden="1" customHeight="1" x14ac:dyDescent="0.25">
      <c r="D133" s="354"/>
      <c r="E133" s="354"/>
      <c r="F133" s="354"/>
      <c r="G133" s="354"/>
      <c r="H133" s="354"/>
      <c r="I133" s="354"/>
      <c r="J133" s="354"/>
      <c r="K133" s="354"/>
      <c r="L133" s="354"/>
      <c r="M133" s="354"/>
      <c r="N133" s="354"/>
      <c r="O133" s="354"/>
      <c r="P133" s="354"/>
      <c r="Q133" s="354"/>
      <c r="S133" s="354"/>
      <c r="T133" s="354"/>
      <c r="U133" s="354"/>
      <c r="V133" s="354"/>
      <c r="W133" s="354"/>
      <c r="X133" s="354"/>
      <c r="Y133" s="354"/>
      <c r="Z133" s="354"/>
      <c r="AA133" s="354"/>
    </row>
    <row r="134" spans="1:28" ht="18" hidden="1" customHeight="1" x14ac:dyDescent="0.25">
      <c r="D134" s="354"/>
      <c r="E134" s="354"/>
      <c r="F134" s="354"/>
      <c r="G134" s="354"/>
      <c r="H134" s="354"/>
      <c r="I134" s="354"/>
      <c r="J134" s="354"/>
      <c r="K134" s="354"/>
      <c r="L134" s="354"/>
      <c r="M134" s="354"/>
      <c r="N134" s="354"/>
      <c r="O134" s="354"/>
      <c r="P134" s="354"/>
      <c r="Q134" s="354"/>
      <c r="S134" s="354"/>
      <c r="T134" s="354"/>
      <c r="U134" s="354"/>
      <c r="V134" s="354"/>
      <c r="W134" s="354"/>
      <c r="X134" s="354"/>
      <c r="Y134" s="354"/>
      <c r="Z134" s="354"/>
      <c r="AA134" s="354"/>
    </row>
    <row r="135" spans="1:28" ht="18" hidden="1" customHeight="1" x14ac:dyDescent="0.25">
      <c r="D135" s="354"/>
      <c r="E135" s="354"/>
      <c r="F135" s="354"/>
      <c r="G135" s="354"/>
      <c r="H135" s="354"/>
      <c r="I135" s="354"/>
      <c r="J135" s="354"/>
      <c r="K135" s="354"/>
      <c r="L135" s="354"/>
      <c r="M135" s="354"/>
      <c r="N135" s="354"/>
      <c r="O135" s="354"/>
      <c r="P135" s="354"/>
      <c r="Q135" s="354"/>
      <c r="S135" s="354"/>
      <c r="T135" s="354"/>
      <c r="U135" s="354"/>
      <c r="V135" s="354"/>
      <c r="W135" s="354"/>
      <c r="X135" s="354"/>
      <c r="Y135" s="354"/>
      <c r="Z135" s="354"/>
      <c r="AA135" s="354"/>
    </row>
    <row r="136" spans="1:28" ht="18" customHeight="1" x14ac:dyDescent="0.25">
      <c r="D136" s="354"/>
      <c r="E136" s="354"/>
      <c r="F136" s="354"/>
      <c r="G136" s="354"/>
      <c r="H136" s="354"/>
      <c r="I136" s="354"/>
      <c r="J136" s="354"/>
      <c r="K136" s="354"/>
      <c r="L136" s="354"/>
      <c r="M136" s="354"/>
      <c r="N136" s="354"/>
      <c r="O136" s="354"/>
      <c r="P136" s="354"/>
      <c r="Q136" s="354"/>
      <c r="S136" s="354"/>
      <c r="T136" s="354"/>
      <c r="U136" s="354"/>
      <c r="V136" s="354"/>
      <c r="W136" s="354"/>
      <c r="X136" s="354"/>
      <c r="Y136" s="354"/>
      <c r="Z136" s="354"/>
      <c r="AA136" s="354"/>
    </row>
    <row r="137" spans="1:28" ht="18" customHeight="1" x14ac:dyDescent="0.25">
      <c r="D137" s="354"/>
      <c r="E137" s="354"/>
      <c r="F137" s="354"/>
      <c r="G137" s="354"/>
      <c r="H137" s="354"/>
      <c r="I137" s="354"/>
      <c r="J137" s="354"/>
      <c r="K137" s="354"/>
      <c r="L137" s="354"/>
      <c r="M137" s="354"/>
      <c r="N137" s="354"/>
      <c r="O137" s="354"/>
      <c r="P137" s="354"/>
      <c r="Q137" s="354"/>
      <c r="S137" s="354"/>
      <c r="T137" s="354"/>
      <c r="U137" s="354"/>
      <c r="V137" s="354"/>
      <c r="W137" s="354"/>
      <c r="X137" s="354"/>
      <c r="Y137" s="354"/>
      <c r="Z137" s="354"/>
      <c r="AA137" s="354"/>
    </row>
    <row r="138" spans="1:28" ht="18" customHeight="1" x14ac:dyDescent="0.25">
      <c r="D138" s="354"/>
      <c r="E138" s="354"/>
      <c r="F138" s="354"/>
      <c r="G138" s="354"/>
      <c r="H138" s="354"/>
      <c r="I138" s="354"/>
      <c r="J138" s="354"/>
      <c r="K138" s="354"/>
      <c r="L138" s="354"/>
      <c r="M138" s="354"/>
      <c r="N138" s="354"/>
      <c r="O138" s="354"/>
      <c r="P138" s="354"/>
      <c r="Q138" s="354"/>
      <c r="R138" s="354"/>
      <c r="S138" s="354"/>
      <c r="T138" s="354"/>
      <c r="U138" s="354"/>
      <c r="V138" s="354"/>
      <c r="W138" s="354"/>
      <c r="X138" s="354"/>
      <c r="Y138" s="354"/>
      <c r="Z138" s="354"/>
      <c r="AA138" s="354"/>
    </row>
    <row r="139" spans="1:28" ht="18" customHeight="1" x14ac:dyDescent="0.25">
      <c r="D139" s="354"/>
      <c r="E139" s="354"/>
      <c r="F139" s="354"/>
      <c r="G139" s="354"/>
      <c r="H139" s="354"/>
      <c r="I139" s="354"/>
      <c r="J139" s="354"/>
      <c r="K139" s="354"/>
      <c r="L139" s="354"/>
      <c r="M139" s="354"/>
      <c r="N139" s="354"/>
      <c r="O139" s="354"/>
      <c r="P139" s="354"/>
      <c r="Q139" s="354"/>
      <c r="R139" s="354"/>
      <c r="S139" s="354"/>
      <c r="T139" s="354"/>
      <c r="U139" s="354"/>
      <c r="V139" s="354"/>
      <c r="W139" s="354"/>
      <c r="X139" s="354"/>
      <c r="Y139" s="354"/>
      <c r="Z139" s="354"/>
      <c r="AA139" s="354"/>
    </row>
    <row r="140" spans="1:28" ht="18" customHeight="1" x14ac:dyDescent="0.25">
      <c r="D140" s="354"/>
      <c r="E140" s="354"/>
      <c r="F140" s="354"/>
      <c r="G140" s="354"/>
      <c r="H140" s="354"/>
      <c r="I140" s="354"/>
      <c r="J140" s="354"/>
      <c r="K140" s="354"/>
      <c r="L140" s="354"/>
      <c r="M140" s="354"/>
      <c r="N140" s="354"/>
      <c r="O140" s="354"/>
      <c r="P140" s="354"/>
      <c r="Q140" s="354"/>
    </row>
    <row r="141" spans="1:28" ht="18" customHeight="1" x14ac:dyDescent="0.25">
      <c r="D141" s="354"/>
      <c r="E141" s="354"/>
      <c r="F141" s="354"/>
      <c r="G141" s="354"/>
      <c r="H141" s="354"/>
      <c r="I141" s="354"/>
      <c r="J141" s="354"/>
      <c r="K141" s="354"/>
      <c r="L141" s="354"/>
      <c r="M141" s="354"/>
      <c r="N141" s="354"/>
      <c r="O141" s="354"/>
      <c r="P141" s="354"/>
      <c r="Q141" s="354"/>
    </row>
    <row r="142" spans="1:28" ht="18" customHeight="1" x14ac:dyDescent="0.25">
      <c r="D142" s="354"/>
      <c r="E142" s="354"/>
      <c r="F142" s="354"/>
      <c r="G142" s="354"/>
      <c r="H142" s="354"/>
      <c r="I142" s="354"/>
      <c r="J142" s="354"/>
      <c r="K142" s="354"/>
      <c r="L142" s="354"/>
      <c r="M142" s="354"/>
      <c r="N142" s="354"/>
      <c r="O142" s="354"/>
      <c r="P142" s="354"/>
      <c r="Q142" s="354"/>
    </row>
    <row r="143" spans="1:28" ht="18" customHeight="1" x14ac:dyDescent="0.25">
      <c r="D143" s="354"/>
    </row>
    <row r="144" spans="1:28" ht="18" customHeight="1" x14ac:dyDescent="0.25">
      <c r="D144" s="354"/>
      <c r="E144" s="354"/>
      <c r="F144" s="354"/>
      <c r="G144" s="354"/>
      <c r="H144" s="354"/>
      <c r="I144" s="354"/>
      <c r="J144" s="354"/>
      <c r="K144" s="354"/>
      <c r="L144" s="354"/>
      <c r="M144" s="354"/>
      <c r="N144" s="354"/>
      <c r="O144" s="354"/>
      <c r="P144" s="354"/>
      <c r="Q144" s="354"/>
    </row>
  </sheetData>
  <mergeCells count="35">
    <mergeCell ref="D124:Q124"/>
    <mergeCell ref="S124:AA124"/>
    <mergeCell ref="D125:Q125"/>
    <mergeCell ref="S125:AA125"/>
    <mergeCell ref="Q14:Q15"/>
    <mergeCell ref="S14:S15"/>
    <mergeCell ref="T14:T15"/>
    <mergeCell ref="K14:K15"/>
    <mergeCell ref="L14:L15"/>
    <mergeCell ref="M14:M15"/>
    <mergeCell ref="N14:N15"/>
    <mergeCell ref="O14:O15"/>
    <mergeCell ref="P14:P15"/>
    <mergeCell ref="E14:E15"/>
    <mergeCell ref="F14:F15"/>
    <mergeCell ref="G14:G15"/>
    <mergeCell ref="B7:C7"/>
    <mergeCell ref="B13:C13"/>
    <mergeCell ref="E13:F13"/>
    <mergeCell ref="I13:K13"/>
    <mergeCell ref="X4:AA5"/>
    <mergeCell ref="M13:O13"/>
    <mergeCell ref="T13:AA13"/>
    <mergeCell ref="B14:B15"/>
    <mergeCell ref="C14:C15"/>
    <mergeCell ref="D14:D15"/>
    <mergeCell ref="H14:H15"/>
    <mergeCell ref="I14:I15"/>
    <mergeCell ref="Y14:Y15"/>
    <mergeCell ref="Z14:AA14"/>
    <mergeCell ref="J14:J15"/>
    <mergeCell ref="U14:U15"/>
    <mergeCell ref="V14:V15"/>
    <mergeCell ref="W14:W15"/>
    <mergeCell ref="X14:X15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V134"/>
  <sheetViews>
    <sheetView zoomScaleNormal="100" workbookViewId="0">
      <pane xSplit="3" ySplit="13" topLeftCell="D20" activePane="bottomRight" state="frozen"/>
      <selection pane="topRight" activeCell="D1" sqref="D1"/>
      <selection pane="bottomLeft" activeCell="A14" sqref="A14"/>
      <selection pane="bottomRight" activeCell="B1" sqref="B1"/>
    </sheetView>
  </sheetViews>
  <sheetFormatPr defaultColWidth="9.140625" defaultRowHeight="18" customHeight="1" x14ac:dyDescent="0.25"/>
  <cols>
    <col min="1" max="1" width="1.28515625" style="180" customWidth="1"/>
    <col min="2" max="2" width="8.85546875" style="180" customWidth="1"/>
    <col min="3" max="3" width="8.7109375" style="180" customWidth="1"/>
    <col min="4" max="17" width="13.7109375" style="180" customWidth="1"/>
    <col min="18" max="18" width="1.28515625" style="180" customWidth="1"/>
    <col min="19" max="25" width="16.7109375" style="180" customWidth="1"/>
    <col min="26" max="27" width="13.7109375" style="180" customWidth="1"/>
    <col min="28" max="28" width="1.28515625" style="180" customWidth="1"/>
    <col min="29" max="29" width="18" style="180" customWidth="1"/>
    <col min="30" max="30" width="9.140625" style="180"/>
    <col min="31" max="31" width="9.5703125" style="180" bestFit="1" customWidth="1"/>
    <col min="32" max="37" width="9.140625" style="180"/>
    <col min="38" max="38" width="12" style="180" bestFit="1" customWidth="1"/>
    <col min="39" max="40" width="11" style="180" bestFit="1" customWidth="1"/>
    <col min="41" max="41" width="2.7109375" style="180" customWidth="1"/>
    <col min="42" max="42" width="12" style="180" bestFit="1" customWidth="1"/>
    <col min="43" max="44" width="11" style="180" bestFit="1" customWidth="1"/>
    <col min="45" max="45" width="2.42578125" style="180" customWidth="1"/>
    <col min="46" max="46" width="8.7109375" style="180" bestFit="1" customWidth="1"/>
    <col min="47" max="48" width="11" style="180" bestFit="1" customWidth="1"/>
    <col min="49" max="49" width="2.42578125" style="180" customWidth="1"/>
    <col min="50" max="16384" width="9.140625" style="180"/>
  </cols>
  <sheetData>
    <row r="1" spans="1:31" ht="7.5" customHeight="1" x14ac:dyDescent="0.25">
      <c r="A1" s="220"/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35"/>
    </row>
    <row r="2" spans="1:31" ht="18" customHeight="1" x14ac:dyDescent="0.25">
      <c r="A2" s="220"/>
      <c r="B2" s="220"/>
      <c r="C2" s="220"/>
      <c r="D2" s="227" t="s">
        <v>120</v>
      </c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35"/>
    </row>
    <row r="3" spans="1:31" ht="6" customHeight="1" thickBot="1" x14ac:dyDescent="0.3">
      <c r="A3" s="220"/>
      <c r="B3" s="220"/>
      <c r="C3" s="220"/>
      <c r="D3" s="227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35"/>
    </row>
    <row r="4" spans="1:31" ht="18" customHeight="1" x14ac:dyDescent="0.25">
      <c r="A4" s="220"/>
      <c r="B4" s="220"/>
      <c r="C4" s="220"/>
      <c r="D4" s="229" t="s">
        <v>69</v>
      </c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2"/>
      <c r="R4" s="220"/>
      <c r="S4" s="229" t="s">
        <v>71</v>
      </c>
      <c r="T4" s="230"/>
      <c r="U4" s="231"/>
      <c r="V4" s="231"/>
      <c r="W4" s="231"/>
      <c r="X4" s="916" t="s">
        <v>112</v>
      </c>
      <c r="Y4" s="917"/>
      <c r="Z4" s="917"/>
      <c r="AA4" s="918"/>
      <c r="AB4" s="220"/>
      <c r="AC4" s="235"/>
    </row>
    <row r="5" spans="1:31" ht="18" customHeight="1" thickBot="1" x14ac:dyDescent="0.3">
      <c r="A5" s="220"/>
      <c r="B5" s="220"/>
      <c r="C5" s="220"/>
      <c r="D5" s="233" t="s">
        <v>70</v>
      </c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34"/>
      <c r="R5" s="220"/>
      <c r="S5" s="233" t="s">
        <v>52</v>
      </c>
      <c r="T5" s="220"/>
      <c r="U5" s="227"/>
      <c r="V5" s="227"/>
      <c r="W5" s="227"/>
      <c r="X5" s="919"/>
      <c r="Y5" s="920"/>
      <c r="Z5" s="920"/>
      <c r="AA5" s="921"/>
      <c r="AB5" s="220"/>
      <c r="AC5" s="235"/>
    </row>
    <row r="6" spans="1:31" ht="6" customHeight="1" thickBot="1" x14ac:dyDescent="0.3">
      <c r="A6" s="220"/>
      <c r="B6" s="220"/>
      <c r="C6" s="220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0"/>
      <c r="S6" s="228"/>
      <c r="T6" s="228"/>
      <c r="U6" s="228"/>
      <c r="V6" s="228"/>
      <c r="W6" s="228"/>
      <c r="X6" s="228"/>
      <c r="Y6" s="228"/>
      <c r="Z6" s="228"/>
      <c r="AA6" s="228"/>
      <c r="AB6" s="220"/>
      <c r="AC6" s="235"/>
    </row>
    <row r="7" spans="1:31" s="179" customFormat="1" ht="28.5" customHeight="1" thickBot="1" x14ac:dyDescent="0.3">
      <c r="A7" s="224"/>
      <c r="B7" s="857" t="s">
        <v>66</v>
      </c>
      <c r="C7" s="857"/>
      <c r="D7" s="189">
        <v>0.79176563740000006</v>
      </c>
      <c r="E7" s="190">
        <v>0.78616352199999995</v>
      </c>
      <c r="F7" s="191">
        <v>0.78802206460000002</v>
      </c>
      <c r="G7" s="189">
        <v>0.77519379840000002</v>
      </c>
      <c r="H7" s="189">
        <v>0.77579519009999998</v>
      </c>
      <c r="I7" s="190">
        <v>0.8006405124</v>
      </c>
      <c r="J7" s="330">
        <v>0.78554595439999997</v>
      </c>
      <c r="K7" s="331">
        <v>0.79491255959999996</v>
      </c>
      <c r="L7" s="189">
        <v>0.77279752700000004</v>
      </c>
      <c r="M7" s="192">
        <v>0.78864353310000002</v>
      </c>
      <c r="N7" s="193">
        <v>0.80385852089999998</v>
      </c>
      <c r="O7" s="191">
        <v>0.78247261349999997</v>
      </c>
      <c r="P7" s="189">
        <v>0.78740157479999995</v>
      </c>
      <c r="Q7" s="189">
        <v>0.79744816590000001</v>
      </c>
      <c r="R7" s="221"/>
      <c r="S7" s="194">
        <v>2.2719999999999998</v>
      </c>
      <c r="T7" s="195">
        <v>2.89</v>
      </c>
      <c r="U7" s="195">
        <v>3.22</v>
      </c>
      <c r="V7" s="196">
        <v>4.149</v>
      </c>
      <c r="W7" s="196">
        <v>1.909</v>
      </c>
      <c r="X7" s="196">
        <v>2.1960000000000002</v>
      </c>
      <c r="Y7" s="197">
        <v>1.992</v>
      </c>
      <c r="Z7" s="198">
        <v>4.24</v>
      </c>
      <c r="AA7" s="197">
        <v>4.2050000000000001</v>
      </c>
      <c r="AB7" s="226"/>
      <c r="AC7" s="236"/>
      <c r="AD7" s="178"/>
      <c r="AE7" s="178"/>
    </row>
    <row r="8" spans="1:31" ht="6" customHeight="1" thickBot="1" x14ac:dyDescent="0.3">
      <c r="A8" s="220"/>
      <c r="B8" s="220"/>
      <c r="C8" s="220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220"/>
      <c r="S8" s="185"/>
      <c r="T8" s="185"/>
      <c r="U8" s="185"/>
      <c r="V8" s="185"/>
      <c r="W8" s="185"/>
      <c r="X8" s="185"/>
      <c r="Y8" s="185"/>
      <c r="Z8" s="185"/>
      <c r="AA8" s="185"/>
      <c r="AB8" s="220"/>
      <c r="AC8" s="235"/>
    </row>
    <row r="9" spans="1:31" ht="18" customHeight="1" thickBot="1" x14ac:dyDescent="0.3">
      <c r="A9" s="220"/>
      <c r="B9" s="220"/>
      <c r="C9" s="220"/>
      <c r="D9" s="184" t="s">
        <v>94</v>
      </c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3"/>
      <c r="R9" s="222"/>
      <c r="S9" s="184" t="s">
        <v>94</v>
      </c>
      <c r="T9" s="182"/>
      <c r="U9" s="182"/>
      <c r="V9" s="181"/>
      <c r="W9" s="181"/>
      <c r="X9" s="181"/>
      <c r="Y9" s="181"/>
      <c r="Z9" s="181"/>
      <c r="AA9" s="183"/>
      <c r="AB9" s="220"/>
      <c r="AC9" s="235"/>
    </row>
    <row r="10" spans="1:31" ht="6" customHeight="1" thickBot="1" x14ac:dyDescent="0.3">
      <c r="A10" s="220"/>
      <c r="B10" s="220"/>
      <c r="C10" s="220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0"/>
      <c r="S10" s="228"/>
      <c r="T10" s="228"/>
      <c r="U10" s="228"/>
      <c r="V10" s="228"/>
      <c r="W10" s="228"/>
      <c r="X10" s="228"/>
      <c r="Y10" s="228"/>
      <c r="Z10" s="228"/>
      <c r="AA10" s="228"/>
      <c r="AB10" s="220"/>
      <c r="AC10" s="235"/>
    </row>
    <row r="11" spans="1:31" ht="18" customHeight="1" thickBot="1" x14ac:dyDescent="0.3">
      <c r="A11" s="220"/>
      <c r="B11" s="858" t="s">
        <v>75</v>
      </c>
      <c r="C11" s="859"/>
      <c r="D11" s="188" t="s">
        <v>8</v>
      </c>
      <c r="E11" s="901" t="s">
        <v>67</v>
      </c>
      <c r="F11" s="902"/>
      <c r="G11" s="186" t="s">
        <v>9</v>
      </c>
      <c r="H11" s="188" t="s">
        <v>58</v>
      </c>
      <c r="I11" s="901" t="s">
        <v>68</v>
      </c>
      <c r="J11" s="903"/>
      <c r="K11" s="902"/>
      <c r="L11" s="188" t="s">
        <v>24</v>
      </c>
      <c r="M11" s="901" t="s">
        <v>11</v>
      </c>
      <c r="N11" s="903"/>
      <c r="O11" s="902"/>
      <c r="P11" s="188" t="s">
        <v>12</v>
      </c>
      <c r="Q11" s="187" t="s">
        <v>13</v>
      </c>
      <c r="R11" s="213"/>
      <c r="S11" s="214" t="s">
        <v>50</v>
      </c>
      <c r="T11" s="860" t="s">
        <v>51</v>
      </c>
      <c r="U11" s="861"/>
      <c r="V11" s="861"/>
      <c r="W11" s="861"/>
      <c r="X11" s="861"/>
      <c r="Y11" s="861"/>
      <c r="Z11" s="861"/>
      <c r="AA11" s="862"/>
      <c r="AB11" s="220"/>
      <c r="AC11" s="235"/>
    </row>
    <row r="12" spans="1:31" ht="18" customHeight="1" thickBot="1" x14ac:dyDescent="0.3">
      <c r="A12" s="220"/>
      <c r="B12" s="870" t="s">
        <v>72</v>
      </c>
      <c r="C12" s="872" t="s">
        <v>73</v>
      </c>
      <c r="D12" s="897" t="s">
        <v>76</v>
      </c>
      <c r="E12" s="899" t="s">
        <v>78</v>
      </c>
      <c r="F12" s="906" t="s">
        <v>79</v>
      </c>
      <c r="G12" s="904" t="s">
        <v>10</v>
      </c>
      <c r="H12" s="897" t="s">
        <v>80</v>
      </c>
      <c r="I12" s="899" t="s">
        <v>81</v>
      </c>
      <c r="J12" s="895" t="s">
        <v>82</v>
      </c>
      <c r="K12" s="906" t="s">
        <v>97</v>
      </c>
      <c r="L12" s="897" t="s">
        <v>83</v>
      </c>
      <c r="M12" s="899" t="s">
        <v>84</v>
      </c>
      <c r="N12" s="908" t="s">
        <v>85</v>
      </c>
      <c r="O12" s="910" t="s">
        <v>15</v>
      </c>
      <c r="P12" s="897" t="s">
        <v>86</v>
      </c>
      <c r="Q12" s="904" t="s">
        <v>3</v>
      </c>
      <c r="R12" s="212"/>
      <c r="S12" s="837" t="s">
        <v>87</v>
      </c>
      <c r="T12" s="839" t="s">
        <v>88</v>
      </c>
      <c r="U12" s="845" t="s">
        <v>89</v>
      </c>
      <c r="V12" s="922" t="s">
        <v>90</v>
      </c>
      <c r="W12" s="849" t="s">
        <v>91</v>
      </c>
      <c r="X12" s="841" t="s">
        <v>92</v>
      </c>
      <c r="Y12" s="843" t="s">
        <v>93</v>
      </c>
      <c r="Z12" s="924" t="s">
        <v>74</v>
      </c>
      <c r="AA12" s="925"/>
      <c r="AB12" s="220"/>
      <c r="AC12" s="235"/>
    </row>
    <row r="13" spans="1:31" ht="18" customHeight="1" thickBot="1" x14ac:dyDescent="0.3">
      <c r="A13" s="220"/>
      <c r="B13" s="871"/>
      <c r="C13" s="873"/>
      <c r="D13" s="898"/>
      <c r="E13" s="900"/>
      <c r="F13" s="907"/>
      <c r="G13" s="905"/>
      <c r="H13" s="898"/>
      <c r="I13" s="900"/>
      <c r="J13" s="896"/>
      <c r="K13" s="907"/>
      <c r="L13" s="898"/>
      <c r="M13" s="900"/>
      <c r="N13" s="909"/>
      <c r="O13" s="911"/>
      <c r="P13" s="898"/>
      <c r="Q13" s="905"/>
      <c r="R13" s="212"/>
      <c r="S13" s="838"/>
      <c r="T13" s="840"/>
      <c r="U13" s="846"/>
      <c r="V13" s="923"/>
      <c r="W13" s="850"/>
      <c r="X13" s="842"/>
      <c r="Y13" s="844"/>
      <c r="Z13" s="217" t="s">
        <v>1</v>
      </c>
      <c r="AA13" s="218" t="s">
        <v>7</v>
      </c>
      <c r="AB13" s="220"/>
      <c r="AC13" s="235"/>
    </row>
    <row r="14" spans="1:31" ht="18" customHeight="1" x14ac:dyDescent="0.25">
      <c r="A14" s="220"/>
      <c r="B14" s="215">
        <v>1</v>
      </c>
      <c r="C14" s="216">
        <v>2008</v>
      </c>
      <c r="D14" s="240">
        <v>75.599999999999994</v>
      </c>
      <c r="E14" s="241">
        <v>75.099999999999994</v>
      </c>
      <c r="F14" s="242">
        <v>74.8</v>
      </c>
      <c r="G14" s="243">
        <v>73.599999999999994</v>
      </c>
      <c r="H14" s="240">
        <v>74.099999999999994</v>
      </c>
      <c r="I14" s="244">
        <v>76.099999999999994</v>
      </c>
      <c r="J14" s="245">
        <v>75</v>
      </c>
      <c r="K14" s="242">
        <v>75.8</v>
      </c>
      <c r="L14" s="240">
        <v>73.3</v>
      </c>
      <c r="M14" s="244">
        <v>75.2</v>
      </c>
      <c r="N14" s="246">
        <v>76.5</v>
      </c>
      <c r="O14" s="247">
        <v>74.8</v>
      </c>
      <c r="P14" s="240">
        <v>75.2</v>
      </c>
      <c r="Q14" s="247">
        <v>76.400000000000006</v>
      </c>
      <c r="R14" s="223"/>
      <c r="S14" s="272">
        <f>184.1/S118</f>
        <v>81.029929577464799</v>
      </c>
      <c r="T14" s="273"/>
      <c r="U14" s="274"/>
      <c r="V14" s="275">
        <f>304.1/V118</f>
        <v>73.294769824054001</v>
      </c>
      <c r="W14" s="276">
        <f>153.7/W118</f>
        <v>80.513357778941852</v>
      </c>
      <c r="X14" s="277"/>
      <c r="Y14" s="278"/>
      <c r="Z14" s="279">
        <f>287.7/Z118</f>
        <v>67.853773584905653</v>
      </c>
      <c r="AA14" s="280">
        <f>284.3/AA118</f>
        <v>67.609988109393583</v>
      </c>
      <c r="AB14" s="220"/>
      <c r="AC14" s="235"/>
    </row>
    <row r="15" spans="1:31" ht="18" customHeight="1" x14ac:dyDescent="0.25">
      <c r="A15" s="220"/>
      <c r="B15" s="210">
        <v>2</v>
      </c>
      <c r="C15" s="206">
        <v>2008</v>
      </c>
      <c r="D15" s="248">
        <v>76</v>
      </c>
      <c r="E15" s="249">
        <v>75.5</v>
      </c>
      <c r="F15" s="250">
        <v>75.099999999999994</v>
      </c>
      <c r="G15" s="251">
        <v>73.900000000000006</v>
      </c>
      <c r="H15" s="248">
        <v>74.599999999999994</v>
      </c>
      <c r="I15" s="252">
        <v>76.5</v>
      </c>
      <c r="J15" s="253">
        <v>75.599999999999994</v>
      </c>
      <c r="K15" s="250">
        <v>76.2</v>
      </c>
      <c r="L15" s="248">
        <v>74</v>
      </c>
      <c r="M15" s="252">
        <v>75.8</v>
      </c>
      <c r="N15" s="254">
        <v>77.099999999999994</v>
      </c>
      <c r="O15" s="255">
        <v>75.3</v>
      </c>
      <c r="P15" s="248">
        <v>75.7</v>
      </c>
      <c r="Q15" s="255">
        <v>77.099999999999994</v>
      </c>
      <c r="R15" s="223"/>
      <c r="S15" s="281">
        <f>186.8/S118</f>
        <v>82.218309859154942</v>
      </c>
      <c r="T15" s="282"/>
      <c r="U15" s="283"/>
      <c r="V15" s="284">
        <f>321.6/V118</f>
        <v>77.512653651482296</v>
      </c>
      <c r="W15" s="285">
        <f>161.4/W118</f>
        <v>84.546883184913568</v>
      </c>
      <c r="X15" s="286"/>
      <c r="Y15" s="287"/>
      <c r="Z15" s="288">
        <f>290.5/Z118</f>
        <v>68.514150943396217</v>
      </c>
      <c r="AA15" s="289">
        <f>287.1/AA118</f>
        <v>68.275862068965523</v>
      </c>
      <c r="AB15" s="220"/>
      <c r="AC15" s="235"/>
    </row>
    <row r="16" spans="1:31" ht="18" customHeight="1" x14ac:dyDescent="0.25">
      <c r="A16" s="220"/>
      <c r="B16" s="210">
        <v>3</v>
      </c>
      <c r="C16" s="206">
        <v>2008</v>
      </c>
      <c r="D16" s="248">
        <v>77.2</v>
      </c>
      <c r="E16" s="249">
        <v>76.5</v>
      </c>
      <c r="F16" s="250">
        <v>76.3</v>
      </c>
      <c r="G16" s="251">
        <v>74.7</v>
      </c>
      <c r="H16" s="248">
        <v>75.7</v>
      </c>
      <c r="I16" s="252">
        <v>77.3</v>
      </c>
      <c r="J16" s="253">
        <v>76.400000000000006</v>
      </c>
      <c r="K16" s="250">
        <v>76.900000000000006</v>
      </c>
      <c r="L16" s="248">
        <v>75.2</v>
      </c>
      <c r="M16" s="252">
        <v>77.099999999999994</v>
      </c>
      <c r="N16" s="254">
        <v>78.5</v>
      </c>
      <c r="O16" s="255">
        <v>76.400000000000006</v>
      </c>
      <c r="P16" s="248">
        <v>76.5</v>
      </c>
      <c r="Q16" s="255">
        <v>78</v>
      </c>
      <c r="R16" s="223"/>
      <c r="S16" s="281">
        <f>187.8/S118</f>
        <v>82.658450704225359</v>
      </c>
      <c r="T16" s="286"/>
      <c r="U16" s="290"/>
      <c r="V16" s="284">
        <f>367.6/V118</f>
        <v>88.599662569293812</v>
      </c>
      <c r="W16" s="285">
        <f>161.4/W118</f>
        <v>84.546883184913568</v>
      </c>
      <c r="X16" s="286"/>
      <c r="Y16" s="287"/>
      <c r="Z16" s="288">
        <f>321.4/Z118</f>
        <v>75.801886792452819</v>
      </c>
      <c r="AA16" s="289">
        <f>318.3/AA118</f>
        <v>75.695600475624261</v>
      </c>
      <c r="AB16" s="220"/>
      <c r="AC16" s="235"/>
    </row>
    <row r="17" spans="1:29" ht="18" customHeight="1" x14ac:dyDescent="0.25">
      <c r="A17" s="220"/>
      <c r="B17" s="210">
        <v>4</v>
      </c>
      <c r="C17" s="206">
        <v>2008</v>
      </c>
      <c r="D17" s="248">
        <v>77.8</v>
      </c>
      <c r="E17" s="249">
        <v>77</v>
      </c>
      <c r="F17" s="250">
        <v>77</v>
      </c>
      <c r="G17" s="251">
        <v>75.599999999999994</v>
      </c>
      <c r="H17" s="248">
        <v>76.2</v>
      </c>
      <c r="I17" s="252">
        <v>78.099999999999994</v>
      </c>
      <c r="J17" s="253">
        <v>77</v>
      </c>
      <c r="K17" s="250">
        <v>77.599999999999994</v>
      </c>
      <c r="L17" s="248">
        <v>75.7</v>
      </c>
      <c r="M17" s="252">
        <v>77.5</v>
      </c>
      <c r="N17" s="254">
        <v>78.900000000000006</v>
      </c>
      <c r="O17" s="255">
        <v>76.8</v>
      </c>
      <c r="P17" s="248">
        <v>77.099999999999994</v>
      </c>
      <c r="Q17" s="255">
        <v>78.400000000000006</v>
      </c>
      <c r="R17" s="223"/>
      <c r="S17" s="281">
        <f>191/S118</f>
        <v>84.066901408450718</v>
      </c>
      <c r="T17" s="286"/>
      <c r="U17" s="290"/>
      <c r="V17" s="284">
        <f>424.9/V118</f>
        <v>102.41021932995902</v>
      </c>
      <c r="W17" s="285">
        <f>161.4/W118</f>
        <v>84.546883184913568</v>
      </c>
      <c r="X17" s="286"/>
      <c r="Y17" s="287"/>
      <c r="Z17" s="288">
        <f>372.6/Z118</f>
        <v>87.877358490566039</v>
      </c>
      <c r="AA17" s="289">
        <f>369.5/AA118</f>
        <v>87.871581450653977</v>
      </c>
      <c r="AB17" s="220"/>
      <c r="AC17" s="235"/>
    </row>
    <row r="18" spans="1:29" ht="18" customHeight="1" x14ac:dyDescent="0.25">
      <c r="A18" s="220"/>
      <c r="B18" s="210">
        <v>5</v>
      </c>
      <c r="C18" s="206">
        <v>2008</v>
      </c>
      <c r="D18" s="248">
        <v>78.2</v>
      </c>
      <c r="E18" s="249">
        <v>77.599999999999994</v>
      </c>
      <c r="F18" s="250">
        <v>77.599999999999994</v>
      </c>
      <c r="G18" s="251">
        <v>76</v>
      </c>
      <c r="H18" s="248">
        <v>76.7</v>
      </c>
      <c r="I18" s="252">
        <v>78.7</v>
      </c>
      <c r="J18" s="253">
        <v>77.5</v>
      </c>
      <c r="K18" s="250">
        <v>78.099999999999994</v>
      </c>
      <c r="L18" s="248">
        <v>76.2</v>
      </c>
      <c r="M18" s="252">
        <v>78</v>
      </c>
      <c r="N18" s="254">
        <v>79.3</v>
      </c>
      <c r="O18" s="255">
        <v>77.5</v>
      </c>
      <c r="P18" s="248">
        <v>77.5</v>
      </c>
      <c r="Q18" s="255">
        <v>79.099999999999994</v>
      </c>
      <c r="R18" s="223"/>
      <c r="S18" s="281">
        <f>199/S118</f>
        <v>87.588028169014095</v>
      </c>
      <c r="T18" s="286"/>
      <c r="U18" s="290"/>
      <c r="V18" s="284">
        <f>471/V118</f>
        <v>113.52133044107013</v>
      </c>
      <c r="W18" s="285">
        <f>168.3/W118</f>
        <v>88.161341016238879</v>
      </c>
      <c r="X18" s="286"/>
      <c r="Y18" s="287"/>
      <c r="Z18" s="288">
        <f>400.4/Z118</f>
        <v>94.433962264150935</v>
      </c>
      <c r="AA18" s="289">
        <f>397.9/AA118</f>
        <v>94.625445897740775</v>
      </c>
      <c r="AB18" s="220"/>
      <c r="AC18" s="235"/>
    </row>
    <row r="19" spans="1:29" ht="18" customHeight="1" x14ac:dyDescent="0.25">
      <c r="A19" s="220"/>
      <c r="B19" s="210">
        <v>6</v>
      </c>
      <c r="C19" s="206">
        <v>2008</v>
      </c>
      <c r="D19" s="248">
        <v>79</v>
      </c>
      <c r="E19" s="249">
        <v>78.5</v>
      </c>
      <c r="F19" s="250">
        <v>79</v>
      </c>
      <c r="G19" s="251">
        <v>77.099999999999994</v>
      </c>
      <c r="H19" s="248">
        <v>77.400000000000006</v>
      </c>
      <c r="I19" s="252">
        <v>80.099999999999994</v>
      </c>
      <c r="J19" s="253">
        <v>78.599999999999994</v>
      </c>
      <c r="K19" s="250">
        <v>79.5</v>
      </c>
      <c r="L19" s="248">
        <v>77.3</v>
      </c>
      <c r="M19" s="252">
        <v>78.900000000000006</v>
      </c>
      <c r="N19" s="254">
        <v>80.7</v>
      </c>
      <c r="O19" s="255">
        <v>78.599999999999994</v>
      </c>
      <c r="P19" s="248">
        <v>78.7</v>
      </c>
      <c r="Q19" s="255">
        <v>79.900000000000006</v>
      </c>
      <c r="R19" s="223"/>
      <c r="S19" s="281">
        <f>201.8/S118</f>
        <v>88.820422535211279</v>
      </c>
      <c r="T19" s="282"/>
      <c r="U19" s="290"/>
      <c r="V19" s="284">
        <f>519.9/V118</f>
        <v>125.30730296456977</v>
      </c>
      <c r="W19" s="285">
        <f>168.3/W118</f>
        <v>88.161341016238879</v>
      </c>
      <c r="X19" s="286"/>
      <c r="Y19" s="287"/>
      <c r="Z19" s="288">
        <f>428.5/Z118</f>
        <v>101.06132075471697</v>
      </c>
      <c r="AA19" s="289">
        <f>426.3/AA118</f>
        <v>101.37931034482759</v>
      </c>
      <c r="AB19" s="220"/>
      <c r="AC19" s="235"/>
    </row>
    <row r="20" spans="1:29" ht="18" customHeight="1" x14ac:dyDescent="0.25">
      <c r="A20" s="220"/>
      <c r="B20" s="210">
        <v>7</v>
      </c>
      <c r="C20" s="206">
        <v>2008</v>
      </c>
      <c r="D20" s="248">
        <v>80.099999999999994</v>
      </c>
      <c r="E20" s="249">
        <v>79.599999999999994</v>
      </c>
      <c r="F20" s="250">
        <v>80.099999999999994</v>
      </c>
      <c r="G20" s="251">
        <v>78.8</v>
      </c>
      <c r="H20" s="248">
        <v>78.400000000000006</v>
      </c>
      <c r="I20" s="252">
        <v>81.599999999999994</v>
      </c>
      <c r="J20" s="253">
        <v>79.5</v>
      </c>
      <c r="K20" s="250">
        <v>80.900000000000006</v>
      </c>
      <c r="L20" s="248">
        <v>78.2</v>
      </c>
      <c r="M20" s="252">
        <v>79.900000000000006</v>
      </c>
      <c r="N20" s="254">
        <v>81.599999999999994</v>
      </c>
      <c r="O20" s="255">
        <v>79.8</v>
      </c>
      <c r="P20" s="248">
        <v>79.8</v>
      </c>
      <c r="Q20" s="255">
        <v>80.900000000000006</v>
      </c>
      <c r="R20" s="223"/>
      <c r="S20" s="281">
        <f>203.9/S118</f>
        <v>89.744718309859167</v>
      </c>
      <c r="T20" s="286"/>
      <c r="U20" s="290"/>
      <c r="V20" s="284">
        <f>511.9/V118</f>
        <v>123.37912750060255</v>
      </c>
      <c r="W20" s="285">
        <f>168.3/W118</f>
        <v>88.161341016238879</v>
      </c>
      <c r="X20" s="286"/>
      <c r="Y20" s="287"/>
      <c r="Z20" s="288">
        <f>453.5/Z118</f>
        <v>106.95754716981132</v>
      </c>
      <c r="AA20" s="289">
        <f>451.5/AA118</f>
        <v>107.37217598097503</v>
      </c>
      <c r="AB20" s="220"/>
      <c r="AC20" s="235"/>
    </row>
    <row r="21" spans="1:29" ht="18" customHeight="1" x14ac:dyDescent="0.25">
      <c r="A21" s="220"/>
      <c r="B21" s="210">
        <v>8</v>
      </c>
      <c r="C21" s="206">
        <v>2008</v>
      </c>
      <c r="D21" s="248">
        <v>80.599999999999994</v>
      </c>
      <c r="E21" s="249">
        <v>80</v>
      </c>
      <c r="F21" s="250">
        <v>80.7</v>
      </c>
      <c r="G21" s="251">
        <v>79.599999999999994</v>
      </c>
      <c r="H21" s="248">
        <v>78.900000000000006</v>
      </c>
      <c r="I21" s="252">
        <v>82.1</v>
      </c>
      <c r="J21" s="253">
        <v>80</v>
      </c>
      <c r="K21" s="250">
        <v>81.3</v>
      </c>
      <c r="L21" s="248">
        <v>79.099999999999994</v>
      </c>
      <c r="M21" s="252">
        <v>80</v>
      </c>
      <c r="N21" s="254">
        <v>82.1</v>
      </c>
      <c r="O21" s="255">
        <v>80</v>
      </c>
      <c r="P21" s="248">
        <v>80</v>
      </c>
      <c r="Q21" s="255">
        <v>81.2</v>
      </c>
      <c r="R21" s="223"/>
      <c r="S21" s="281">
        <f>217.3/S118</f>
        <v>95.64260563380283</v>
      </c>
      <c r="T21" s="286"/>
      <c r="U21" s="290"/>
      <c r="V21" s="284">
        <f>419.9/V118</f>
        <v>101.2051096649795</v>
      </c>
      <c r="W21" s="285">
        <f>175.4/W118</f>
        <v>91.88056574122578</v>
      </c>
      <c r="X21" s="286"/>
      <c r="Y21" s="287"/>
      <c r="Z21" s="288">
        <f>447.1/Z118</f>
        <v>105.44811320754717</v>
      </c>
      <c r="AA21" s="289">
        <f>444.7/AA118</f>
        <v>105.75505350772889</v>
      </c>
      <c r="AB21" s="220"/>
      <c r="AC21" s="235"/>
    </row>
    <row r="22" spans="1:29" ht="18" customHeight="1" x14ac:dyDescent="0.25">
      <c r="A22" s="220"/>
      <c r="B22" s="210">
        <v>9</v>
      </c>
      <c r="C22" s="206">
        <v>2008</v>
      </c>
      <c r="D22" s="248">
        <v>81.2</v>
      </c>
      <c r="E22" s="249">
        <v>80.900000000000006</v>
      </c>
      <c r="F22" s="250">
        <v>81.2</v>
      </c>
      <c r="G22" s="251">
        <v>79.900000000000006</v>
      </c>
      <c r="H22" s="248">
        <v>79.599999999999994</v>
      </c>
      <c r="I22" s="252">
        <v>82.3</v>
      </c>
      <c r="J22" s="253">
        <v>80.599999999999994</v>
      </c>
      <c r="K22" s="250">
        <v>81.599999999999994</v>
      </c>
      <c r="L22" s="248">
        <v>79.599999999999994</v>
      </c>
      <c r="M22" s="252">
        <v>80.8</v>
      </c>
      <c r="N22" s="254">
        <v>82.4</v>
      </c>
      <c r="O22" s="255">
        <v>79.8</v>
      </c>
      <c r="P22" s="248">
        <v>80.900000000000006</v>
      </c>
      <c r="Q22" s="255">
        <v>81.3</v>
      </c>
      <c r="R22" s="223"/>
      <c r="S22" s="281">
        <f>218.8/S118</f>
        <v>96.302816901408463</v>
      </c>
      <c r="T22" s="286"/>
      <c r="U22" s="290"/>
      <c r="V22" s="284">
        <f>394.3/V118</f>
        <v>95.034948180284402</v>
      </c>
      <c r="W22" s="285">
        <f>175.4/W118</f>
        <v>91.88056574122578</v>
      </c>
      <c r="X22" s="286"/>
      <c r="Y22" s="287"/>
      <c r="Z22" s="288">
        <f>390/Z118</f>
        <v>91.981132075471692</v>
      </c>
      <c r="AA22" s="289">
        <f>387.1/AA118</f>
        <v>92.057074910820461</v>
      </c>
      <c r="AB22" s="220"/>
      <c r="AC22" s="235"/>
    </row>
    <row r="23" spans="1:29" ht="18" customHeight="1" x14ac:dyDescent="0.25">
      <c r="A23" s="220"/>
      <c r="B23" s="210">
        <v>10</v>
      </c>
      <c r="C23" s="206">
        <v>2008</v>
      </c>
      <c r="D23" s="248">
        <v>81.5</v>
      </c>
      <c r="E23" s="249">
        <v>81.099999999999994</v>
      </c>
      <c r="F23" s="250">
        <v>81.3</v>
      </c>
      <c r="G23" s="251">
        <v>80.3</v>
      </c>
      <c r="H23" s="248">
        <v>79.8</v>
      </c>
      <c r="I23" s="252">
        <v>82.6</v>
      </c>
      <c r="J23" s="253">
        <v>80.8</v>
      </c>
      <c r="K23" s="250">
        <v>82</v>
      </c>
      <c r="L23" s="248">
        <v>79.7</v>
      </c>
      <c r="M23" s="252">
        <v>81.099999999999994</v>
      </c>
      <c r="N23" s="254">
        <v>82.5</v>
      </c>
      <c r="O23" s="255">
        <v>80.099999999999994</v>
      </c>
      <c r="P23" s="248">
        <v>81.2</v>
      </c>
      <c r="Q23" s="255">
        <v>81.599999999999994</v>
      </c>
      <c r="R23" s="223"/>
      <c r="S23" s="281">
        <f>219.6/S118</f>
        <v>96.654929577464799</v>
      </c>
      <c r="T23" s="286"/>
      <c r="U23" s="290"/>
      <c r="V23" s="284">
        <f>377.4/V118</f>
        <v>90.961677512653651</v>
      </c>
      <c r="W23" s="285">
        <f>175.4/W118</f>
        <v>91.88056574122578</v>
      </c>
      <c r="X23" s="286"/>
      <c r="Y23" s="287"/>
      <c r="Z23" s="288">
        <f>367.8/Z118</f>
        <v>86.745283018867923</v>
      </c>
      <c r="AA23" s="289">
        <f>364.7/AA118</f>
        <v>86.730083234244944</v>
      </c>
      <c r="AB23" s="220"/>
      <c r="AC23" s="235"/>
    </row>
    <row r="24" spans="1:29" ht="18" customHeight="1" x14ac:dyDescent="0.25">
      <c r="A24" s="220"/>
      <c r="B24" s="210">
        <v>11</v>
      </c>
      <c r="C24" s="206">
        <v>2008</v>
      </c>
      <c r="D24" s="248">
        <v>81.5</v>
      </c>
      <c r="E24" s="249">
        <v>81.099999999999994</v>
      </c>
      <c r="F24" s="250">
        <v>81.400000000000006</v>
      </c>
      <c r="G24" s="251">
        <v>80.400000000000006</v>
      </c>
      <c r="H24" s="248">
        <v>79.8</v>
      </c>
      <c r="I24" s="252">
        <v>82.6</v>
      </c>
      <c r="J24" s="253">
        <v>80.900000000000006</v>
      </c>
      <c r="K24" s="250">
        <v>82</v>
      </c>
      <c r="L24" s="248">
        <v>79.7</v>
      </c>
      <c r="M24" s="252">
        <v>81.2</v>
      </c>
      <c r="N24" s="254">
        <v>82.6</v>
      </c>
      <c r="O24" s="255">
        <v>80</v>
      </c>
      <c r="P24" s="248">
        <v>81.3</v>
      </c>
      <c r="Q24" s="255">
        <v>81.7</v>
      </c>
      <c r="R24" s="223"/>
      <c r="S24" s="281">
        <f>219.2/S118</f>
        <v>96.478873239436624</v>
      </c>
      <c r="T24" s="286"/>
      <c r="U24" s="290"/>
      <c r="V24" s="284">
        <f>336.8/V118</f>
        <v>81.176187033020014</v>
      </c>
      <c r="W24" s="285">
        <f>184.8/W118</f>
        <v>96.804609743321109</v>
      </c>
      <c r="X24" s="286"/>
      <c r="Y24" s="287"/>
      <c r="Z24" s="288">
        <f>358.2/Z118</f>
        <v>84.481132075471692</v>
      </c>
      <c r="AA24" s="289">
        <f>355.1/AA118</f>
        <v>84.447086801426877</v>
      </c>
      <c r="AB24" s="220"/>
      <c r="AC24" s="235"/>
    </row>
    <row r="25" spans="1:29" ht="18" customHeight="1" x14ac:dyDescent="0.25">
      <c r="A25" s="220"/>
      <c r="B25" s="211">
        <v>12</v>
      </c>
      <c r="C25" s="208">
        <v>2008</v>
      </c>
      <c r="D25" s="256">
        <v>81.400000000000006</v>
      </c>
      <c r="E25" s="257">
        <v>80.7</v>
      </c>
      <c r="F25" s="258">
        <v>81.3</v>
      </c>
      <c r="G25" s="259">
        <v>80.2</v>
      </c>
      <c r="H25" s="256">
        <v>79.8</v>
      </c>
      <c r="I25" s="260">
        <v>82.7</v>
      </c>
      <c r="J25" s="261">
        <v>80.8</v>
      </c>
      <c r="K25" s="258">
        <v>82</v>
      </c>
      <c r="L25" s="256">
        <v>79.599999999999994</v>
      </c>
      <c r="M25" s="260">
        <v>80.8</v>
      </c>
      <c r="N25" s="262">
        <v>82.5</v>
      </c>
      <c r="O25" s="263">
        <v>79.7</v>
      </c>
      <c r="P25" s="256">
        <v>81.099999999999994</v>
      </c>
      <c r="Q25" s="263">
        <v>81.3</v>
      </c>
      <c r="R25" s="223"/>
      <c r="S25" s="291">
        <f>216.6/S118</f>
        <v>95.33450704225352</v>
      </c>
      <c r="T25" s="292"/>
      <c r="U25" s="293"/>
      <c r="V25" s="294">
        <f>274.3/V118</f>
        <v>66.112316220776094</v>
      </c>
      <c r="W25" s="295">
        <f>184.8/W118</f>
        <v>96.804609743321109</v>
      </c>
      <c r="X25" s="292"/>
      <c r="Y25" s="296"/>
      <c r="Z25" s="297">
        <f>326.1/Z118</f>
        <v>76.910377358490564</v>
      </c>
      <c r="AA25" s="298">
        <f>322.7/AA118</f>
        <v>76.741973840665864</v>
      </c>
      <c r="AB25" s="220"/>
      <c r="AC25" s="235"/>
    </row>
    <row r="26" spans="1:29" ht="18" customHeight="1" x14ac:dyDescent="0.25">
      <c r="A26" s="220"/>
      <c r="B26" s="209">
        <v>1</v>
      </c>
      <c r="C26" s="204">
        <v>2009</v>
      </c>
      <c r="D26" s="264">
        <v>81.5</v>
      </c>
      <c r="E26" s="265">
        <v>80.8</v>
      </c>
      <c r="F26" s="266">
        <v>80.900000000000006</v>
      </c>
      <c r="G26" s="267">
        <v>80.3</v>
      </c>
      <c r="H26" s="264">
        <v>80.099999999999994</v>
      </c>
      <c r="I26" s="268">
        <v>83.4</v>
      </c>
      <c r="J26" s="269">
        <v>81.2</v>
      </c>
      <c r="K26" s="266">
        <v>82.7</v>
      </c>
      <c r="L26" s="264">
        <v>79.599999999999994</v>
      </c>
      <c r="M26" s="268">
        <v>81.2</v>
      </c>
      <c r="N26" s="270">
        <v>82.6</v>
      </c>
      <c r="O26" s="271">
        <v>79.7</v>
      </c>
      <c r="P26" s="264">
        <v>81.7</v>
      </c>
      <c r="Q26" s="271">
        <v>81.3</v>
      </c>
      <c r="R26" s="223"/>
      <c r="S26" s="299">
        <f>219.7/S118</f>
        <v>96.698943661971839</v>
      </c>
      <c r="T26" s="300"/>
      <c r="U26" s="301"/>
      <c r="V26" s="302">
        <f>286.5/V118</f>
        <v>69.052783803326108</v>
      </c>
      <c r="W26" s="303">
        <f>184.8/W118</f>
        <v>96.804609743321109</v>
      </c>
      <c r="X26" s="300"/>
      <c r="Y26" s="304"/>
      <c r="Z26" s="305">
        <f>259.4/Z118</f>
        <v>61.179245283018858</v>
      </c>
      <c r="AA26" s="266">
        <f>255.5/AA118</f>
        <v>60.760998810939356</v>
      </c>
      <c r="AB26" s="220"/>
      <c r="AC26" s="235"/>
    </row>
    <row r="27" spans="1:29" ht="18" customHeight="1" x14ac:dyDescent="0.25">
      <c r="A27" s="220"/>
      <c r="B27" s="210">
        <v>2</v>
      </c>
      <c r="C27" s="206">
        <v>2009</v>
      </c>
      <c r="D27" s="248">
        <v>82.2</v>
      </c>
      <c r="E27" s="249">
        <v>81.8</v>
      </c>
      <c r="F27" s="250">
        <v>82</v>
      </c>
      <c r="G27" s="251">
        <v>81</v>
      </c>
      <c r="H27" s="248">
        <v>80.900000000000006</v>
      </c>
      <c r="I27" s="252">
        <v>84.1</v>
      </c>
      <c r="J27" s="253">
        <v>82</v>
      </c>
      <c r="K27" s="250">
        <v>83.4</v>
      </c>
      <c r="L27" s="248">
        <v>80.900000000000006</v>
      </c>
      <c r="M27" s="252">
        <v>82.3</v>
      </c>
      <c r="N27" s="254">
        <v>83.7</v>
      </c>
      <c r="O27" s="255">
        <v>80.8</v>
      </c>
      <c r="P27" s="248">
        <v>82.9</v>
      </c>
      <c r="Q27" s="255">
        <v>82.8</v>
      </c>
      <c r="R27" s="223"/>
      <c r="S27" s="306">
        <f>215.7/S118</f>
        <v>94.938380281690144</v>
      </c>
      <c r="T27" s="307"/>
      <c r="U27" s="308"/>
      <c r="V27" s="284">
        <f>271.3/V118</f>
        <v>65.38925042178839</v>
      </c>
      <c r="W27" s="309">
        <f>193/W118</f>
        <v>101.10005238344682</v>
      </c>
      <c r="X27" s="307"/>
      <c r="Y27" s="310"/>
      <c r="Z27" s="311">
        <f>257.4/Z118</f>
        <v>60.707547169811313</v>
      </c>
      <c r="AA27" s="250">
        <f>253.9/AA118</f>
        <v>60.380499405469678</v>
      </c>
      <c r="AB27" s="220"/>
      <c r="AC27" s="235"/>
    </row>
    <row r="28" spans="1:29" ht="18" customHeight="1" x14ac:dyDescent="0.25">
      <c r="A28" s="220"/>
      <c r="B28" s="210">
        <v>3</v>
      </c>
      <c r="C28" s="206">
        <v>2009</v>
      </c>
      <c r="D28" s="248">
        <v>83.5</v>
      </c>
      <c r="E28" s="249">
        <v>82.9</v>
      </c>
      <c r="F28" s="250">
        <v>83.1</v>
      </c>
      <c r="G28" s="251">
        <v>82.2</v>
      </c>
      <c r="H28" s="248">
        <v>82</v>
      </c>
      <c r="I28" s="252">
        <v>85</v>
      </c>
      <c r="J28" s="253">
        <v>83.2</v>
      </c>
      <c r="K28" s="250">
        <v>84.3</v>
      </c>
      <c r="L28" s="248">
        <v>82.3</v>
      </c>
      <c r="M28" s="252">
        <v>83.4</v>
      </c>
      <c r="N28" s="254">
        <v>84.8</v>
      </c>
      <c r="O28" s="255">
        <v>82.1</v>
      </c>
      <c r="P28" s="248">
        <v>83.9</v>
      </c>
      <c r="Q28" s="255">
        <v>84</v>
      </c>
      <c r="R28" s="223"/>
      <c r="S28" s="306">
        <f>214.8/S118</f>
        <v>94.542253521126767</v>
      </c>
      <c r="T28" s="307"/>
      <c r="U28" s="308"/>
      <c r="V28" s="284">
        <f>253.5/V118</f>
        <v>61.099060014461315</v>
      </c>
      <c r="W28" s="309">
        <f>193/W118</f>
        <v>101.10005238344682</v>
      </c>
      <c r="X28" s="307"/>
      <c r="Y28" s="310"/>
      <c r="Z28" s="311">
        <f>242.4/Z118</f>
        <v>57.169811320754718</v>
      </c>
      <c r="AA28" s="250">
        <f>238.3/AA118</f>
        <v>56.670630202140309</v>
      </c>
      <c r="AB28" s="220"/>
      <c r="AC28" s="235"/>
    </row>
    <row r="29" spans="1:29" ht="18" customHeight="1" x14ac:dyDescent="0.25">
      <c r="A29" s="220"/>
      <c r="B29" s="210">
        <v>4</v>
      </c>
      <c r="C29" s="206">
        <v>2009</v>
      </c>
      <c r="D29" s="248">
        <v>83.8</v>
      </c>
      <c r="E29" s="249">
        <v>83.3</v>
      </c>
      <c r="F29" s="250">
        <v>83.5</v>
      </c>
      <c r="G29" s="251">
        <v>82.5</v>
      </c>
      <c r="H29" s="248">
        <v>82.5</v>
      </c>
      <c r="I29" s="252">
        <v>85.4</v>
      </c>
      <c r="J29" s="253">
        <v>83.6</v>
      </c>
      <c r="K29" s="250">
        <v>84.7</v>
      </c>
      <c r="L29" s="248">
        <v>82.5</v>
      </c>
      <c r="M29" s="252">
        <v>83.9</v>
      </c>
      <c r="N29" s="254">
        <v>85.3</v>
      </c>
      <c r="O29" s="255">
        <v>82.5</v>
      </c>
      <c r="P29" s="248">
        <v>84.3</v>
      </c>
      <c r="Q29" s="255">
        <v>84.1</v>
      </c>
      <c r="R29" s="223"/>
      <c r="S29" s="306">
        <f>213.3/S118</f>
        <v>93.882042253521135</v>
      </c>
      <c r="T29" s="307"/>
      <c r="U29" s="308"/>
      <c r="V29" s="284">
        <f>250.2/V118</f>
        <v>60.303687635574832</v>
      </c>
      <c r="W29" s="309">
        <f>193/W118</f>
        <v>101.10005238344682</v>
      </c>
      <c r="X29" s="307"/>
      <c r="Y29" s="310"/>
      <c r="Z29" s="311">
        <f>258.2/Z118</f>
        <v>60.896226415094333</v>
      </c>
      <c r="AA29" s="250">
        <f>254.3/AA118</f>
        <v>60.475624256837101</v>
      </c>
      <c r="AB29" s="220"/>
      <c r="AC29" s="235"/>
    </row>
    <row r="30" spans="1:29" ht="18" customHeight="1" x14ac:dyDescent="0.25">
      <c r="A30" s="220"/>
      <c r="B30" s="210">
        <v>5</v>
      </c>
      <c r="C30" s="206">
        <v>2009</v>
      </c>
      <c r="D30" s="248">
        <v>84.1</v>
      </c>
      <c r="E30" s="249">
        <v>83.5</v>
      </c>
      <c r="F30" s="250">
        <v>83.9</v>
      </c>
      <c r="G30" s="251">
        <v>82.8</v>
      </c>
      <c r="H30" s="248">
        <v>82.8</v>
      </c>
      <c r="I30" s="252">
        <v>85.7</v>
      </c>
      <c r="J30" s="253">
        <v>84</v>
      </c>
      <c r="K30" s="250">
        <v>85.1</v>
      </c>
      <c r="L30" s="248">
        <v>82.8</v>
      </c>
      <c r="M30" s="252">
        <v>84.2</v>
      </c>
      <c r="N30" s="254">
        <v>85.6</v>
      </c>
      <c r="O30" s="255">
        <v>82.6</v>
      </c>
      <c r="P30" s="248">
        <v>84.9</v>
      </c>
      <c r="Q30" s="255">
        <v>84.4</v>
      </c>
      <c r="R30" s="223"/>
      <c r="S30" s="306">
        <f>209/S118</f>
        <v>91.989436619718319</v>
      </c>
      <c r="T30" s="307"/>
      <c r="U30" s="308"/>
      <c r="V30" s="284">
        <f>251.1/V118</f>
        <v>60.520607375271148</v>
      </c>
      <c r="W30" s="309">
        <f>189.2/W118</f>
        <v>99.109481403876373</v>
      </c>
      <c r="X30" s="307"/>
      <c r="Y30" s="310"/>
      <c r="Z30" s="311">
        <f>261.4/Z118</f>
        <v>61.65094339622641</v>
      </c>
      <c r="AA30" s="250">
        <f>257.5/AA118</f>
        <v>61.236623067776456</v>
      </c>
      <c r="AB30" s="220"/>
      <c r="AC30" s="235"/>
    </row>
    <row r="31" spans="1:29" ht="18" customHeight="1" x14ac:dyDescent="0.25">
      <c r="A31" s="220"/>
      <c r="B31" s="210">
        <v>6</v>
      </c>
      <c r="C31" s="206">
        <v>2009</v>
      </c>
      <c r="D31" s="248">
        <v>84.5</v>
      </c>
      <c r="E31" s="249">
        <v>83.6</v>
      </c>
      <c r="F31" s="250">
        <v>84.2</v>
      </c>
      <c r="G31" s="251">
        <v>83.1</v>
      </c>
      <c r="H31" s="248">
        <v>83</v>
      </c>
      <c r="I31" s="252">
        <v>85.7</v>
      </c>
      <c r="J31" s="253">
        <v>84.2</v>
      </c>
      <c r="K31" s="250">
        <v>85.2</v>
      </c>
      <c r="L31" s="248">
        <v>83.1</v>
      </c>
      <c r="M31" s="252">
        <v>84.3</v>
      </c>
      <c r="N31" s="254">
        <v>86.2</v>
      </c>
      <c r="O31" s="255">
        <v>82.9</v>
      </c>
      <c r="P31" s="248">
        <v>85.4</v>
      </c>
      <c r="Q31" s="255">
        <v>84.9</v>
      </c>
      <c r="R31" s="223"/>
      <c r="S31" s="306">
        <f>208.9/S118</f>
        <v>91.945422535211279</v>
      </c>
      <c r="T31" s="307"/>
      <c r="U31" s="308"/>
      <c r="V31" s="284">
        <f>256.8/V118</f>
        <v>61.894432393347799</v>
      </c>
      <c r="W31" s="309">
        <f>189.2/W118</f>
        <v>99.109481403876373</v>
      </c>
      <c r="X31" s="307"/>
      <c r="Y31" s="310"/>
      <c r="Z31" s="311">
        <f>256.3/Z118</f>
        <v>60.448113207547166</v>
      </c>
      <c r="AA31" s="250">
        <f>253.1/AA118</f>
        <v>60.190249702734839</v>
      </c>
      <c r="AB31" s="220"/>
      <c r="AC31" s="235"/>
    </row>
    <row r="32" spans="1:29" ht="18" customHeight="1" x14ac:dyDescent="0.25">
      <c r="A32" s="220"/>
      <c r="B32" s="210">
        <v>7</v>
      </c>
      <c r="C32" s="206">
        <v>2009</v>
      </c>
      <c r="D32" s="248">
        <v>85.4</v>
      </c>
      <c r="E32" s="249">
        <v>85.1</v>
      </c>
      <c r="F32" s="250">
        <v>85.2</v>
      </c>
      <c r="G32" s="251">
        <v>84.3</v>
      </c>
      <c r="H32" s="248">
        <v>83.9</v>
      </c>
      <c r="I32" s="252">
        <v>86.5</v>
      </c>
      <c r="J32" s="253">
        <v>84.8</v>
      </c>
      <c r="K32" s="250">
        <v>86</v>
      </c>
      <c r="L32" s="248">
        <v>84.2</v>
      </c>
      <c r="M32" s="252">
        <v>85.7</v>
      </c>
      <c r="N32" s="254">
        <v>86.7</v>
      </c>
      <c r="O32" s="255">
        <v>84.4</v>
      </c>
      <c r="P32" s="248">
        <v>86.3</v>
      </c>
      <c r="Q32" s="255">
        <v>85.7</v>
      </c>
      <c r="R32" s="223"/>
      <c r="S32" s="306">
        <f>211.3/S118</f>
        <v>93.001760563380302</v>
      </c>
      <c r="T32" s="307"/>
      <c r="U32" s="308"/>
      <c r="V32" s="284">
        <f>266.2/V118</f>
        <v>64.160038563509275</v>
      </c>
      <c r="W32" s="309">
        <f>189.2/W118</f>
        <v>99.109481403876373</v>
      </c>
      <c r="X32" s="307"/>
      <c r="Y32" s="310"/>
      <c r="Z32" s="311">
        <f>272.1/Z118</f>
        <v>64.174528301886795</v>
      </c>
      <c r="AA32" s="250">
        <f>269.1/AA118</f>
        <v>63.995243757431631</v>
      </c>
      <c r="AB32" s="220"/>
      <c r="AC32" s="235"/>
    </row>
    <row r="33" spans="1:29" ht="18" customHeight="1" x14ac:dyDescent="0.25">
      <c r="A33" s="220"/>
      <c r="B33" s="210">
        <v>8</v>
      </c>
      <c r="C33" s="206">
        <v>2009</v>
      </c>
      <c r="D33" s="248">
        <v>85.7</v>
      </c>
      <c r="E33" s="249">
        <v>85.4</v>
      </c>
      <c r="F33" s="250">
        <v>85.3</v>
      </c>
      <c r="G33" s="251">
        <v>84.7</v>
      </c>
      <c r="H33" s="248">
        <v>84.1</v>
      </c>
      <c r="I33" s="252">
        <v>86.6</v>
      </c>
      <c r="J33" s="253">
        <v>84.9</v>
      </c>
      <c r="K33" s="250">
        <v>86.2</v>
      </c>
      <c r="L33" s="248">
        <v>84.5</v>
      </c>
      <c r="M33" s="252">
        <v>85.9</v>
      </c>
      <c r="N33" s="254">
        <v>87.2</v>
      </c>
      <c r="O33" s="255">
        <v>84.6</v>
      </c>
      <c r="P33" s="248">
        <v>86.8</v>
      </c>
      <c r="Q33" s="255">
        <v>85.8</v>
      </c>
      <c r="R33" s="223"/>
      <c r="S33" s="306">
        <f>210.1/S118</f>
        <v>92.473591549295776</v>
      </c>
      <c r="T33" s="307"/>
      <c r="U33" s="308"/>
      <c r="V33" s="284">
        <f>262.1/V118</f>
        <v>63.171848638226081</v>
      </c>
      <c r="W33" s="309">
        <f>190.9/W118</f>
        <v>100</v>
      </c>
      <c r="X33" s="307"/>
      <c r="Y33" s="310"/>
      <c r="Z33" s="311">
        <f>264.2/Z118</f>
        <v>62.311320754716974</v>
      </c>
      <c r="AA33" s="250">
        <f>261.1/AA118</f>
        <v>62.092746730083242</v>
      </c>
      <c r="AB33" s="220"/>
      <c r="AC33" s="235"/>
    </row>
    <row r="34" spans="1:29" ht="18" customHeight="1" x14ac:dyDescent="0.25">
      <c r="A34" s="220"/>
      <c r="B34" s="210">
        <v>9</v>
      </c>
      <c r="C34" s="206">
        <v>2009</v>
      </c>
      <c r="D34" s="248">
        <v>86.1</v>
      </c>
      <c r="E34" s="249">
        <v>85.5</v>
      </c>
      <c r="F34" s="250">
        <v>85.9</v>
      </c>
      <c r="G34" s="251">
        <v>85</v>
      </c>
      <c r="H34" s="248">
        <v>84.4</v>
      </c>
      <c r="I34" s="252">
        <v>86.9</v>
      </c>
      <c r="J34" s="253">
        <v>85.2</v>
      </c>
      <c r="K34" s="250">
        <v>86.4</v>
      </c>
      <c r="L34" s="248">
        <v>84.8</v>
      </c>
      <c r="M34" s="252">
        <v>86.3</v>
      </c>
      <c r="N34" s="254">
        <v>87.5</v>
      </c>
      <c r="O34" s="255">
        <v>84.8</v>
      </c>
      <c r="P34" s="248">
        <v>86.9</v>
      </c>
      <c r="Q34" s="255">
        <v>86.1</v>
      </c>
      <c r="R34" s="223"/>
      <c r="S34" s="306">
        <f>209.8/S118</f>
        <v>92.341549295774655</v>
      </c>
      <c r="T34" s="307"/>
      <c r="U34" s="308"/>
      <c r="V34" s="284">
        <f>272.6/V118</f>
        <v>65.702578934683061</v>
      </c>
      <c r="W34" s="309">
        <f>190.9/W118</f>
        <v>100</v>
      </c>
      <c r="X34" s="307"/>
      <c r="Y34" s="310"/>
      <c r="Z34" s="311">
        <f>277.7/Z118</f>
        <v>65.495283018867923</v>
      </c>
      <c r="AA34" s="250">
        <f>274.7/AA118</f>
        <v>65.326991676575503</v>
      </c>
      <c r="AB34" s="220"/>
      <c r="AC34" s="235"/>
    </row>
    <row r="35" spans="1:29" ht="18" customHeight="1" x14ac:dyDescent="0.25">
      <c r="A35" s="220"/>
      <c r="B35" s="210">
        <v>10</v>
      </c>
      <c r="C35" s="206">
        <v>2009</v>
      </c>
      <c r="D35" s="248">
        <v>86.2</v>
      </c>
      <c r="E35" s="249">
        <v>85.5</v>
      </c>
      <c r="F35" s="250">
        <v>85.8</v>
      </c>
      <c r="G35" s="251">
        <v>85</v>
      </c>
      <c r="H35" s="248">
        <v>84.3</v>
      </c>
      <c r="I35" s="252">
        <v>86.8</v>
      </c>
      <c r="J35" s="253">
        <v>85.2</v>
      </c>
      <c r="K35" s="250">
        <v>86.3</v>
      </c>
      <c r="L35" s="248">
        <v>84.7</v>
      </c>
      <c r="M35" s="252">
        <v>86.2</v>
      </c>
      <c r="N35" s="254">
        <v>87.5</v>
      </c>
      <c r="O35" s="255">
        <v>84.7</v>
      </c>
      <c r="P35" s="248">
        <v>86.9</v>
      </c>
      <c r="Q35" s="255">
        <v>86.2</v>
      </c>
      <c r="R35" s="223"/>
      <c r="S35" s="306">
        <f>209.5/S118</f>
        <v>92.209507042253534</v>
      </c>
      <c r="T35" s="307"/>
      <c r="U35" s="308"/>
      <c r="V35" s="284">
        <f>257.7/V118</f>
        <v>62.111352133044107</v>
      </c>
      <c r="W35" s="309">
        <f>190.9/W118</f>
        <v>100</v>
      </c>
      <c r="X35" s="307"/>
      <c r="Y35" s="310"/>
      <c r="Z35" s="311">
        <f>265/Z118</f>
        <v>62.5</v>
      </c>
      <c r="AA35" s="250">
        <f>261.9/AA118</f>
        <v>62.282996432818067</v>
      </c>
      <c r="AB35" s="220"/>
      <c r="AC35" s="235"/>
    </row>
    <row r="36" spans="1:29" ht="18" customHeight="1" x14ac:dyDescent="0.25">
      <c r="A36" s="220"/>
      <c r="B36" s="210">
        <v>11</v>
      </c>
      <c r="C36" s="206">
        <v>2009</v>
      </c>
      <c r="D36" s="248">
        <v>86.3</v>
      </c>
      <c r="E36" s="249">
        <v>85.5</v>
      </c>
      <c r="F36" s="250">
        <v>85.7</v>
      </c>
      <c r="G36" s="251">
        <v>85</v>
      </c>
      <c r="H36" s="248">
        <v>84.3</v>
      </c>
      <c r="I36" s="252">
        <v>86.8</v>
      </c>
      <c r="J36" s="253">
        <v>85.1</v>
      </c>
      <c r="K36" s="250">
        <v>86.3</v>
      </c>
      <c r="L36" s="248">
        <v>84.8</v>
      </c>
      <c r="M36" s="252">
        <v>86.3</v>
      </c>
      <c r="N36" s="254">
        <v>87.5</v>
      </c>
      <c r="O36" s="255">
        <v>84.7</v>
      </c>
      <c r="P36" s="248">
        <v>86.9</v>
      </c>
      <c r="Q36" s="255">
        <v>86.1</v>
      </c>
      <c r="R36" s="223"/>
      <c r="S36" s="306">
        <f>209.8/S118</f>
        <v>92.341549295774655</v>
      </c>
      <c r="T36" s="307"/>
      <c r="U36" s="308"/>
      <c r="V36" s="284">
        <f>262.2/V118</f>
        <v>63.195950831525664</v>
      </c>
      <c r="W36" s="309">
        <f>188.1/W118</f>
        <v>98.53326348873756</v>
      </c>
      <c r="X36" s="307"/>
      <c r="Y36" s="310"/>
      <c r="Z36" s="311">
        <f>268.9/Z118</f>
        <v>63.419811320754711</v>
      </c>
      <c r="AA36" s="250">
        <f>265.9/AA118</f>
        <v>63.234244946492268</v>
      </c>
      <c r="AB36" s="220"/>
      <c r="AC36" s="235"/>
    </row>
    <row r="37" spans="1:29" ht="18" customHeight="1" x14ac:dyDescent="0.25">
      <c r="A37" s="220"/>
      <c r="B37" s="211">
        <v>12</v>
      </c>
      <c r="C37" s="208">
        <v>2009</v>
      </c>
      <c r="D37" s="256">
        <v>86.9</v>
      </c>
      <c r="E37" s="257">
        <v>85.7</v>
      </c>
      <c r="F37" s="258">
        <v>86</v>
      </c>
      <c r="G37" s="259">
        <v>85</v>
      </c>
      <c r="H37" s="256">
        <v>84.5</v>
      </c>
      <c r="I37" s="260">
        <v>87</v>
      </c>
      <c r="J37" s="261">
        <v>85.2</v>
      </c>
      <c r="K37" s="258">
        <v>86.6</v>
      </c>
      <c r="L37" s="256">
        <v>85</v>
      </c>
      <c r="M37" s="260">
        <v>86.6</v>
      </c>
      <c r="N37" s="262">
        <v>87.2</v>
      </c>
      <c r="O37" s="263">
        <v>85.1</v>
      </c>
      <c r="P37" s="256">
        <v>87.2</v>
      </c>
      <c r="Q37" s="263">
        <v>86.3</v>
      </c>
      <c r="R37" s="223"/>
      <c r="S37" s="312">
        <f>209.8/S118</f>
        <v>92.341549295774655</v>
      </c>
      <c r="T37" s="313"/>
      <c r="U37" s="314"/>
      <c r="V37" s="294">
        <f>275.4/V118</f>
        <v>66.377440347071584</v>
      </c>
      <c r="W37" s="315">
        <f>188.1/W118</f>
        <v>98.53326348873756</v>
      </c>
      <c r="X37" s="313"/>
      <c r="Y37" s="316"/>
      <c r="Z37" s="317">
        <f>278.9/Z118</f>
        <v>65.778301886792448</v>
      </c>
      <c r="AA37" s="258">
        <f>275.9/AA118</f>
        <v>65.612366230677765</v>
      </c>
      <c r="AB37" s="220"/>
      <c r="AC37" s="235"/>
    </row>
    <row r="38" spans="1:29" ht="18" customHeight="1" x14ac:dyDescent="0.25">
      <c r="A38" s="220"/>
      <c r="B38" s="209">
        <v>1</v>
      </c>
      <c r="C38" s="204">
        <v>2010</v>
      </c>
      <c r="D38" s="264">
        <v>87.1</v>
      </c>
      <c r="E38" s="265">
        <v>85.8</v>
      </c>
      <c r="F38" s="266">
        <v>86.1</v>
      </c>
      <c r="G38" s="267">
        <v>85.2</v>
      </c>
      <c r="H38" s="264">
        <v>84.7</v>
      </c>
      <c r="I38" s="268">
        <v>87.4</v>
      </c>
      <c r="J38" s="269">
        <v>85.5</v>
      </c>
      <c r="K38" s="266">
        <v>86.9</v>
      </c>
      <c r="L38" s="264">
        <v>85.2</v>
      </c>
      <c r="M38" s="268">
        <v>86.9</v>
      </c>
      <c r="N38" s="270">
        <v>87.5</v>
      </c>
      <c r="O38" s="271">
        <v>85.4</v>
      </c>
      <c r="P38" s="264">
        <v>87.5</v>
      </c>
      <c r="Q38" s="271">
        <v>86.4</v>
      </c>
      <c r="R38" s="223"/>
      <c r="S38" s="299">
        <f>212.5/S118</f>
        <v>93.529929577464799</v>
      </c>
      <c r="T38" s="300"/>
      <c r="U38" s="301"/>
      <c r="V38" s="302">
        <f>269.1/V118</f>
        <v>64.859002169197396</v>
      </c>
      <c r="W38" s="303">
        <f>188.1/W118</f>
        <v>98.53326348873756</v>
      </c>
      <c r="X38" s="300"/>
      <c r="Y38" s="304"/>
      <c r="Z38" s="305">
        <f>273.3/Z118</f>
        <v>64.45754716981132</v>
      </c>
      <c r="AA38" s="266">
        <f>270.3/AA118</f>
        <v>64.280618311533885</v>
      </c>
      <c r="AB38" s="220"/>
      <c r="AC38" s="235"/>
    </row>
    <row r="39" spans="1:29" ht="18" customHeight="1" x14ac:dyDescent="0.25">
      <c r="A39" s="220"/>
      <c r="B39" s="210">
        <v>2</v>
      </c>
      <c r="C39" s="206">
        <v>2010</v>
      </c>
      <c r="D39" s="248">
        <v>87.4</v>
      </c>
      <c r="E39" s="249">
        <v>86.5</v>
      </c>
      <c r="F39" s="250">
        <v>86.7</v>
      </c>
      <c r="G39" s="251">
        <v>85.4</v>
      </c>
      <c r="H39" s="248">
        <v>85.3</v>
      </c>
      <c r="I39" s="252">
        <v>87.7</v>
      </c>
      <c r="J39" s="253">
        <v>85.9</v>
      </c>
      <c r="K39" s="250">
        <v>87.3</v>
      </c>
      <c r="L39" s="248">
        <v>86.2</v>
      </c>
      <c r="M39" s="252">
        <v>87.5</v>
      </c>
      <c r="N39" s="254">
        <v>88</v>
      </c>
      <c r="O39" s="255">
        <v>85.9</v>
      </c>
      <c r="P39" s="248">
        <v>88.1</v>
      </c>
      <c r="Q39" s="255">
        <v>87.1</v>
      </c>
      <c r="R39" s="223"/>
      <c r="S39" s="306">
        <f>213/S118</f>
        <v>93.750000000000014</v>
      </c>
      <c r="T39" s="307"/>
      <c r="U39" s="308"/>
      <c r="V39" s="284">
        <f>276.4/V118</f>
        <v>66.618462280067476</v>
      </c>
      <c r="W39" s="309">
        <f>188/W118</f>
        <v>98.480880041906758</v>
      </c>
      <c r="X39" s="307"/>
      <c r="Y39" s="310"/>
      <c r="Z39" s="311">
        <f>277.3/Z118</f>
        <v>65.40094339622641</v>
      </c>
      <c r="AA39" s="250">
        <f>274.3/AA118</f>
        <v>65.231866825208087</v>
      </c>
      <c r="AB39" s="220"/>
      <c r="AC39" s="235"/>
    </row>
    <row r="40" spans="1:29" ht="18" customHeight="1" x14ac:dyDescent="0.25">
      <c r="A40" s="220"/>
      <c r="B40" s="210">
        <v>3</v>
      </c>
      <c r="C40" s="206">
        <v>2010</v>
      </c>
      <c r="D40" s="248">
        <v>88.4</v>
      </c>
      <c r="E40" s="249">
        <v>87.3</v>
      </c>
      <c r="F40" s="250">
        <v>87.5</v>
      </c>
      <c r="G40" s="251">
        <v>85.9</v>
      </c>
      <c r="H40" s="248">
        <v>86</v>
      </c>
      <c r="I40" s="252">
        <v>88.4</v>
      </c>
      <c r="J40" s="253">
        <v>86.7</v>
      </c>
      <c r="K40" s="250">
        <v>87.9</v>
      </c>
      <c r="L40" s="248">
        <v>87</v>
      </c>
      <c r="M40" s="252">
        <v>88.2</v>
      </c>
      <c r="N40" s="254">
        <v>88.8</v>
      </c>
      <c r="O40" s="255">
        <v>86.8</v>
      </c>
      <c r="P40" s="248">
        <v>88.7</v>
      </c>
      <c r="Q40" s="255">
        <v>87.6</v>
      </c>
      <c r="R40" s="223"/>
      <c r="S40" s="306">
        <f>213/S118</f>
        <v>93.750000000000014</v>
      </c>
      <c r="T40" s="307"/>
      <c r="U40" s="308"/>
      <c r="V40" s="284">
        <f>280.4/V118</f>
        <v>67.582550012051087</v>
      </c>
      <c r="W40" s="309">
        <f>188.9/W118</f>
        <v>98.952331063383966</v>
      </c>
      <c r="X40" s="307"/>
      <c r="Y40" s="310"/>
      <c r="Z40" s="311">
        <f>278.9/Z118</f>
        <v>65.778301886792448</v>
      </c>
      <c r="AA40" s="250">
        <f>275.9/AA118</f>
        <v>65.612366230677765</v>
      </c>
      <c r="AB40" s="220"/>
      <c r="AC40" s="235"/>
    </row>
    <row r="41" spans="1:29" ht="18" customHeight="1" x14ac:dyDescent="0.25">
      <c r="A41" s="220"/>
      <c r="B41" s="210">
        <v>4</v>
      </c>
      <c r="C41" s="206">
        <v>2010</v>
      </c>
      <c r="D41" s="248">
        <v>88.7</v>
      </c>
      <c r="E41" s="249">
        <v>87.4</v>
      </c>
      <c r="F41" s="250">
        <v>87.8</v>
      </c>
      <c r="G41" s="251">
        <v>86.3</v>
      </c>
      <c r="H41" s="248">
        <v>86.4</v>
      </c>
      <c r="I41" s="252">
        <v>88.5</v>
      </c>
      <c r="J41" s="253">
        <v>86.6</v>
      </c>
      <c r="K41" s="250">
        <v>88</v>
      </c>
      <c r="L41" s="248">
        <v>87.2</v>
      </c>
      <c r="M41" s="252">
        <v>88.4</v>
      </c>
      <c r="N41" s="254">
        <v>89</v>
      </c>
      <c r="O41" s="255">
        <v>86.9</v>
      </c>
      <c r="P41" s="248">
        <v>88.8</v>
      </c>
      <c r="Q41" s="255">
        <v>87.6</v>
      </c>
      <c r="R41" s="223"/>
      <c r="S41" s="306">
        <f>212.8/S118</f>
        <v>93.661971830985934</v>
      </c>
      <c r="T41" s="307"/>
      <c r="U41" s="308"/>
      <c r="V41" s="284">
        <f>296.5/V118</f>
        <v>71.463003133285127</v>
      </c>
      <c r="W41" s="309">
        <f>188.9/W118</f>
        <v>98.952331063383966</v>
      </c>
      <c r="X41" s="307"/>
      <c r="Y41" s="310"/>
      <c r="Z41" s="311">
        <f>298.3/Z118</f>
        <v>70.353773584905653</v>
      </c>
      <c r="AA41" s="250">
        <f>295.5/AA118</f>
        <v>70.273483947681328</v>
      </c>
      <c r="AB41" s="220"/>
      <c r="AC41" s="235"/>
    </row>
    <row r="42" spans="1:29" ht="18" customHeight="1" x14ac:dyDescent="0.25">
      <c r="A42" s="220"/>
      <c r="B42" s="210">
        <v>5</v>
      </c>
      <c r="C42" s="206">
        <v>2010</v>
      </c>
      <c r="D42" s="248">
        <v>88.8</v>
      </c>
      <c r="E42" s="249">
        <v>87.6</v>
      </c>
      <c r="F42" s="250">
        <v>87.7</v>
      </c>
      <c r="G42" s="251">
        <v>86.4</v>
      </c>
      <c r="H42" s="248">
        <v>86.4</v>
      </c>
      <c r="I42" s="252">
        <v>88.6</v>
      </c>
      <c r="J42" s="253">
        <v>87</v>
      </c>
      <c r="K42" s="250">
        <v>88.2</v>
      </c>
      <c r="L42" s="248">
        <v>87.3</v>
      </c>
      <c r="M42" s="252">
        <v>88.5</v>
      </c>
      <c r="N42" s="254">
        <v>89.1</v>
      </c>
      <c r="O42" s="255">
        <v>87</v>
      </c>
      <c r="P42" s="248">
        <v>89</v>
      </c>
      <c r="Q42" s="255">
        <v>88</v>
      </c>
      <c r="R42" s="223"/>
      <c r="S42" s="306">
        <f>215.4/S118</f>
        <v>94.806338028169023</v>
      </c>
      <c r="T42" s="307"/>
      <c r="U42" s="308"/>
      <c r="V42" s="284">
        <f>304.4/V118</f>
        <v>73.367076403952751</v>
      </c>
      <c r="W42" s="309">
        <f>187.6/W118</f>
        <v>98.271346254583548</v>
      </c>
      <c r="X42" s="307"/>
      <c r="Y42" s="310"/>
      <c r="Z42" s="311">
        <f>309.8/Z118</f>
        <v>73.066037735849051</v>
      </c>
      <c r="AA42" s="250">
        <f>306.7/AA118</f>
        <v>72.936979785969086</v>
      </c>
      <c r="AB42" s="220"/>
      <c r="AC42" s="235"/>
    </row>
    <row r="43" spans="1:29" ht="18" customHeight="1" x14ac:dyDescent="0.25">
      <c r="A43" s="220"/>
      <c r="B43" s="210">
        <v>6</v>
      </c>
      <c r="C43" s="206">
        <v>2010</v>
      </c>
      <c r="D43" s="248">
        <v>88.7</v>
      </c>
      <c r="E43" s="249">
        <v>87.8</v>
      </c>
      <c r="F43" s="250">
        <v>87.8</v>
      </c>
      <c r="G43" s="251">
        <v>86.1</v>
      </c>
      <c r="H43" s="248">
        <v>86.5</v>
      </c>
      <c r="I43" s="252">
        <v>88.6</v>
      </c>
      <c r="J43" s="253">
        <v>87.1</v>
      </c>
      <c r="K43" s="250">
        <v>88.2</v>
      </c>
      <c r="L43" s="248">
        <v>87.4</v>
      </c>
      <c r="M43" s="252">
        <v>88.7</v>
      </c>
      <c r="N43" s="254">
        <v>89.2</v>
      </c>
      <c r="O43" s="255">
        <v>86.8</v>
      </c>
      <c r="P43" s="248">
        <v>89.1</v>
      </c>
      <c r="Q43" s="255">
        <v>88</v>
      </c>
      <c r="R43" s="223"/>
      <c r="S43" s="306">
        <f>216.7/S118</f>
        <v>95.37852112676056</v>
      </c>
      <c r="T43" s="307"/>
      <c r="U43" s="308"/>
      <c r="V43" s="284">
        <f>300.5/V118</f>
        <v>72.427090865268738</v>
      </c>
      <c r="W43" s="309">
        <f>187.4/W118</f>
        <v>98.166579360921943</v>
      </c>
      <c r="X43" s="307"/>
      <c r="Y43" s="310"/>
      <c r="Z43" s="311">
        <f>303.9/Z118</f>
        <v>71.674528301886781</v>
      </c>
      <c r="AA43" s="250">
        <f>301.1/AA118</f>
        <v>71.605231866825207</v>
      </c>
      <c r="AB43" s="220"/>
      <c r="AC43" s="235"/>
    </row>
    <row r="44" spans="1:29" ht="18" customHeight="1" x14ac:dyDescent="0.25">
      <c r="A44" s="220"/>
      <c r="B44" s="210">
        <v>7</v>
      </c>
      <c r="C44" s="206">
        <v>2010</v>
      </c>
      <c r="D44" s="248">
        <v>89.1</v>
      </c>
      <c r="E44" s="249">
        <v>88.4</v>
      </c>
      <c r="F44" s="250">
        <v>88.3</v>
      </c>
      <c r="G44" s="251">
        <v>87.4</v>
      </c>
      <c r="H44" s="248">
        <v>87.3</v>
      </c>
      <c r="I44" s="252">
        <v>88.8</v>
      </c>
      <c r="J44" s="253">
        <v>87.9</v>
      </c>
      <c r="K44" s="250">
        <v>88.6</v>
      </c>
      <c r="L44" s="248">
        <v>87.9</v>
      </c>
      <c r="M44" s="252">
        <v>89.3</v>
      </c>
      <c r="N44" s="254">
        <v>89.6</v>
      </c>
      <c r="O44" s="255">
        <v>87.8</v>
      </c>
      <c r="P44" s="248">
        <v>89.1</v>
      </c>
      <c r="Q44" s="255">
        <v>88.4</v>
      </c>
      <c r="R44" s="223"/>
      <c r="S44" s="306">
        <f>214.1/S118</f>
        <v>94.234154929577471</v>
      </c>
      <c r="T44" s="307"/>
      <c r="U44" s="308"/>
      <c r="V44" s="284">
        <f>296/V118</f>
        <v>71.342492166787181</v>
      </c>
      <c r="W44" s="309">
        <f>187.2/W118</f>
        <v>98.061812467260339</v>
      </c>
      <c r="X44" s="307"/>
      <c r="Y44" s="310"/>
      <c r="Z44" s="311">
        <f>297.9/Z118</f>
        <v>70.25943396226414</v>
      </c>
      <c r="AA44" s="250">
        <f>295.1/AA118</f>
        <v>70.178359096313912</v>
      </c>
      <c r="AB44" s="220"/>
      <c r="AC44" s="235"/>
    </row>
    <row r="45" spans="1:29" ht="18" customHeight="1" x14ac:dyDescent="0.25">
      <c r="A45" s="220"/>
      <c r="B45" s="210">
        <v>8</v>
      </c>
      <c r="C45" s="206">
        <v>2010</v>
      </c>
      <c r="D45" s="248">
        <v>89.1</v>
      </c>
      <c r="E45" s="249">
        <v>88.4</v>
      </c>
      <c r="F45" s="250">
        <v>88.3</v>
      </c>
      <c r="G45" s="251">
        <v>87.4</v>
      </c>
      <c r="H45" s="248">
        <v>87.4</v>
      </c>
      <c r="I45" s="252">
        <v>88.8</v>
      </c>
      <c r="J45" s="253">
        <v>88.1</v>
      </c>
      <c r="K45" s="250">
        <v>88.7</v>
      </c>
      <c r="L45" s="248">
        <v>87.9</v>
      </c>
      <c r="M45" s="252">
        <v>89.2</v>
      </c>
      <c r="N45" s="254">
        <v>89.8</v>
      </c>
      <c r="O45" s="255">
        <v>87.7</v>
      </c>
      <c r="P45" s="248">
        <v>89.8</v>
      </c>
      <c r="Q45" s="255">
        <v>88.5</v>
      </c>
      <c r="R45" s="223"/>
      <c r="S45" s="306">
        <f>212.6/S118</f>
        <v>93.573943661971839</v>
      </c>
      <c r="T45" s="307"/>
      <c r="U45" s="308"/>
      <c r="V45" s="284">
        <f>293.1/V118</f>
        <v>70.64352856109906</v>
      </c>
      <c r="W45" s="309">
        <f>186.7/W118</f>
        <v>97.799895233106326</v>
      </c>
      <c r="X45" s="307"/>
      <c r="Y45" s="310"/>
      <c r="Z45" s="311">
        <f>292.7/Z118</f>
        <v>69.033018867924525</v>
      </c>
      <c r="AA45" s="250">
        <f>289.9/AA118</f>
        <v>68.941736028537449</v>
      </c>
      <c r="AB45" s="220"/>
      <c r="AC45" s="235"/>
    </row>
    <row r="46" spans="1:29" ht="18" customHeight="1" x14ac:dyDescent="0.25">
      <c r="A46" s="220"/>
      <c r="B46" s="210">
        <v>9</v>
      </c>
      <c r="C46" s="206">
        <v>2010</v>
      </c>
      <c r="D46" s="248">
        <v>89.2</v>
      </c>
      <c r="E46" s="249">
        <v>88.6</v>
      </c>
      <c r="F46" s="250">
        <v>88.3</v>
      </c>
      <c r="G46" s="251">
        <v>87.6</v>
      </c>
      <c r="H46" s="248">
        <v>87.9</v>
      </c>
      <c r="I46" s="252">
        <v>88.6</v>
      </c>
      <c r="J46" s="253">
        <v>88.5</v>
      </c>
      <c r="K46" s="250">
        <v>88.6</v>
      </c>
      <c r="L46" s="248">
        <v>88.1</v>
      </c>
      <c r="M46" s="252">
        <v>89.5</v>
      </c>
      <c r="N46" s="254">
        <v>89.8</v>
      </c>
      <c r="O46" s="255">
        <v>87.6</v>
      </c>
      <c r="P46" s="248">
        <v>89.9</v>
      </c>
      <c r="Q46" s="255">
        <v>88.8</v>
      </c>
      <c r="R46" s="223"/>
      <c r="S46" s="306">
        <f>212.6/S118</f>
        <v>93.573943661971839</v>
      </c>
      <c r="T46" s="307"/>
      <c r="U46" s="308"/>
      <c r="V46" s="284">
        <f>290.6/V118</f>
        <v>70.040973728609302</v>
      </c>
      <c r="W46" s="309">
        <f>186.7/W118</f>
        <v>97.799895233106326</v>
      </c>
      <c r="X46" s="307"/>
      <c r="Y46" s="310"/>
      <c r="Z46" s="311">
        <f>292.7/Z118</f>
        <v>69.033018867924525</v>
      </c>
      <c r="AA46" s="250">
        <f>289.9/AA118</f>
        <v>68.941736028537449</v>
      </c>
      <c r="AB46" s="220"/>
      <c r="AC46" s="235"/>
    </row>
    <row r="47" spans="1:29" ht="18" customHeight="1" x14ac:dyDescent="0.25">
      <c r="A47" s="220"/>
      <c r="B47" s="210">
        <v>10</v>
      </c>
      <c r="C47" s="206">
        <v>2010</v>
      </c>
      <c r="D47" s="248">
        <v>89.3</v>
      </c>
      <c r="E47" s="249">
        <v>88.7</v>
      </c>
      <c r="F47" s="250">
        <v>88.5</v>
      </c>
      <c r="G47" s="251">
        <v>87.8</v>
      </c>
      <c r="H47" s="248">
        <v>88.1</v>
      </c>
      <c r="I47" s="252">
        <v>88.8</v>
      </c>
      <c r="J47" s="253">
        <v>88.5</v>
      </c>
      <c r="K47" s="250">
        <v>88.8</v>
      </c>
      <c r="L47" s="248">
        <v>88.2</v>
      </c>
      <c r="M47" s="252">
        <v>89.6</v>
      </c>
      <c r="N47" s="254">
        <v>90</v>
      </c>
      <c r="O47" s="255">
        <v>87.9</v>
      </c>
      <c r="P47" s="248">
        <v>90.4</v>
      </c>
      <c r="Q47" s="255">
        <v>89.2</v>
      </c>
      <c r="R47" s="223"/>
      <c r="S47" s="306">
        <f>213.7/S118</f>
        <v>94.058098591549296</v>
      </c>
      <c r="T47" s="307">
        <f>248.8/T118</f>
        <v>86.089965397923876</v>
      </c>
      <c r="U47" s="308">
        <f>264.6/U118</f>
        <v>82.173913043478265</v>
      </c>
      <c r="V47" s="284">
        <f>291.3/V118</f>
        <v>70.209689081706443</v>
      </c>
      <c r="W47" s="309">
        <f>186.8/W118</f>
        <v>97.852278679937143</v>
      </c>
      <c r="X47" s="307">
        <f>205.1/X118</f>
        <v>93.397085610200349</v>
      </c>
      <c r="Y47" s="310">
        <f>189.4/Y118</f>
        <v>95.08032128514057</v>
      </c>
      <c r="Z47" s="311">
        <f>291.6/Z118</f>
        <v>68.773584905660385</v>
      </c>
      <c r="AA47" s="250">
        <f>288.7/AA118</f>
        <v>68.656361474435187</v>
      </c>
      <c r="AB47" s="220"/>
      <c r="AC47" s="235"/>
    </row>
    <row r="48" spans="1:29" ht="18" customHeight="1" x14ac:dyDescent="0.25">
      <c r="A48" s="220"/>
      <c r="B48" s="210">
        <v>11</v>
      </c>
      <c r="C48" s="206">
        <v>2010</v>
      </c>
      <c r="D48" s="248">
        <v>89.4</v>
      </c>
      <c r="E48" s="249">
        <v>88.9</v>
      </c>
      <c r="F48" s="250">
        <v>88.5</v>
      </c>
      <c r="G48" s="251">
        <v>87.8</v>
      </c>
      <c r="H48" s="248">
        <v>88.1</v>
      </c>
      <c r="I48" s="252">
        <v>88.9</v>
      </c>
      <c r="J48" s="253">
        <v>88.6</v>
      </c>
      <c r="K48" s="250">
        <v>89</v>
      </c>
      <c r="L48" s="248">
        <v>88.3</v>
      </c>
      <c r="M48" s="252">
        <v>89.8</v>
      </c>
      <c r="N48" s="254">
        <v>90.1</v>
      </c>
      <c r="O48" s="255">
        <v>88</v>
      </c>
      <c r="P48" s="248">
        <v>90.2</v>
      </c>
      <c r="Q48" s="255">
        <v>89.4</v>
      </c>
      <c r="R48" s="223"/>
      <c r="S48" s="306">
        <f>212.9/S118</f>
        <v>93.705985915492974</v>
      </c>
      <c r="T48" s="307">
        <f>248.7/T118</f>
        <v>86.055363321799305</v>
      </c>
      <c r="U48" s="308">
        <f>264.7/U118</f>
        <v>82.204968944099377</v>
      </c>
      <c r="V48" s="284">
        <f>299/V118</f>
        <v>72.065557965774886</v>
      </c>
      <c r="W48" s="309">
        <f>187.5/W118</f>
        <v>98.218962807752746</v>
      </c>
      <c r="X48" s="307">
        <f>205.4/X118</f>
        <v>93.533697632058278</v>
      </c>
      <c r="Y48" s="310">
        <f>190.1/Y118</f>
        <v>95.431726907630519</v>
      </c>
      <c r="Z48" s="311">
        <f>301.5/Z118</f>
        <v>71.10849056603773</v>
      </c>
      <c r="AA48" s="250">
        <f>298.7/AA118</f>
        <v>71.034482758620683</v>
      </c>
      <c r="AB48" s="220"/>
      <c r="AC48" s="235"/>
    </row>
    <row r="49" spans="1:29" ht="18" customHeight="1" x14ac:dyDescent="0.25">
      <c r="A49" s="220"/>
      <c r="B49" s="211">
        <v>12</v>
      </c>
      <c r="C49" s="208">
        <v>2010</v>
      </c>
      <c r="D49" s="256">
        <v>89.6</v>
      </c>
      <c r="E49" s="257">
        <v>89</v>
      </c>
      <c r="F49" s="258">
        <v>88.7</v>
      </c>
      <c r="G49" s="259">
        <v>87.8</v>
      </c>
      <c r="H49" s="256">
        <v>88.3</v>
      </c>
      <c r="I49" s="260">
        <v>89</v>
      </c>
      <c r="J49" s="261">
        <v>88.8</v>
      </c>
      <c r="K49" s="258">
        <v>89</v>
      </c>
      <c r="L49" s="256">
        <v>88.3</v>
      </c>
      <c r="M49" s="260">
        <v>89.9</v>
      </c>
      <c r="N49" s="262">
        <v>90.3</v>
      </c>
      <c r="O49" s="263">
        <v>88.4</v>
      </c>
      <c r="P49" s="256">
        <v>90.2</v>
      </c>
      <c r="Q49" s="263">
        <v>89.4</v>
      </c>
      <c r="R49" s="223"/>
      <c r="S49" s="312">
        <f>213.1/S118</f>
        <v>93.794014084507054</v>
      </c>
      <c r="T49" s="313">
        <f>248.5/T118</f>
        <v>85.986159169550163</v>
      </c>
      <c r="U49" s="314">
        <f>266.2/U118</f>
        <v>82.670807453416145</v>
      </c>
      <c r="V49" s="294">
        <f>309.4/V118</f>
        <v>74.572186068932268</v>
      </c>
      <c r="W49" s="315">
        <f>185.8/W118</f>
        <v>97.328444211629133</v>
      </c>
      <c r="X49" s="313">
        <f>201.5/X118</f>
        <v>91.757741347905281</v>
      </c>
      <c r="Y49" s="316">
        <f>189.2/Y118</f>
        <v>94.97991967871485</v>
      </c>
      <c r="Z49" s="317">
        <f>301.5/Z118</f>
        <v>71.10849056603773</v>
      </c>
      <c r="AA49" s="258">
        <f>298.7/AA118</f>
        <v>71.034482758620683</v>
      </c>
      <c r="AB49" s="220"/>
      <c r="AC49" s="235"/>
    </row>
    <row r="50" spans="1:29" ht="18" customHeight="1" x14ac:dyDescent="0.25">
      <c r="A50" s="220"/>
      <c r="B50" s="209">
        <v>1</v>
      </c>
      <c r="C50" s="204">
        <v>2011</v>
      </c>
      <c r="D50" s="264">
        <v>90</v>
      </c>
      <c r="E50" s="265">
        <v>89.5</v>
      </c>
      <c r="F50" s="266">
        <v>89</v>
      </c>
      <c r="G50" s="267">
        <v>88.5</v>
      </c>
      <c r="H50" s="264">
        <v>88.9</v>
      </c>
      <c r="I50" s="268">
        <v>89.4</v>
      </c>
      <c r="J50" s="269">
        <v>89.3</v>
      </c>
      <c r="K50" s="266">
        <v>89.5</v>
      </c>
      <c r="L50" s="264">
        <v>88.9</v>
      </c>
      <c r="M50" s="268">
        <v>90</v>
      </c>
      <c r="N50" s="270">
        <v>90.6</v>
      </c>
      <c r="O50" s="271">
        <v>88.9</v>
      </c>
      <c r="P50" s="264">
        <v>90.8</v>
      </c>
      <c r="Q50" s="271">
        <v>90.1</v>
      </c>
      <c r="R50" s="223"/>
      <c r="S50" s="299">
        <f>215.4/S118</f>
        <v>94.806338028169023</v>
      </c>
      <c r="T50" s="300">
        <f>250.3/T118</f>
        <v>86.608996539792386</v>
      </c>
      <c r="U50" s="301">
        <f>266.7/U118</f>
        <v>82.826086956521735</v>
      </c>
      <c r="V50" s="302">
        <f>321/V118</f>
        <v>77.368040491684738</v>
      </c>
      <c r="W50" s="303">
        <f>184.2/W118</f>
        <v>96.490309062336294</v>
      </c>
      <c r="X50" s="300">
        <f>201.9/X118</f>
        <v>91.939890710382514</v>
      </c>
      <c r="Y50" s="304">
        <f>189/Y118</f>
        <v>94.879518072289159</v>
      </c>
      <c r="Z50" s="305">
        <f>311/Z118</f>
        <v>73.349056603773576</v>
      </c>
      <c r="AA50" s="266">
        <f>307.9/AA118</f>
        <v>73.222354340071334</v>
      </c>
      <c r="AB50" s="220"/>
      <c r="AC50" s="235"/>
    </row>
    <row r="51" spans="1:29" ht="18" customHeight="1" x14ac:dyDescent="0.25">
      <c r="A51" s="220"/>
      <c r="B51" s="210">
        <v>2</v>
      </c>
      <c r="C51" s="206">
        <v>2011</v>
      </c>
      <c r="D51" s="248">
        <v>90.7</v>
      </c>
      <c r="E51" s="249">
        <v>90.2</v>
      </c>
      <c r="F51" s="250">
        <v>89.7</v>
      </c>
      <c r="G51" s="251">
        <v>89.1</v>
      </c>
      <c r="H51" s="248">
        <v>89.5</v>
      </c>
      <c r="I51" s="252">
        <v>90</v>
      </c>
      <c r="J51" s="253">
        <v>89.9</v>
      </c>
      <c r="K51" s="250">
        <v>90.1</v>
      </c>
      <c r="L51" s="248">
        <v>90</v>
      </c>
      <c r="M51" s="252">
        <v>90.5</v>
      </c>
      <c r="N51" s="254">
        <v>91.2</v>
      </c>
      <c r="O51" s="255">
        <v>89.4</v>
      </c>
      <c r="P51" s="248">
        <v>91.4</v>
      </c>
      <c r="Q51" s="255">
        <v>90.7</v>
      </c>
      <c r="R51" s="223"/>
      <c r="S51" s="306">
        <f>215.9/S118</f>
        <v>95.026408450704238</v>
      </c>
      <c r="T51" s="307">
        <f>257.9/T118</f>
        <v>89.238754325259507</v>
      </c>
      <c r="U51" s="308">
        <f>272.2/U118</f>
        <v>84.534161490683218</v>
      </c>
      <c r="V51" s="284">
        <f>350.9/V118</f>
        <v>84.574596288262228</v>
      </c>
      <c r="W51" s="309">
        <f>186.6/W118</f>
        <v>97.747511786275538</v>
      </c>
      <c r="X51" s="307">
        <f>202.7/X118</f>
        <v>92.304189435336966</v>
      </c>
      <c r="Y51" s="310">
        <f>190.4/Y118</f>
        <v>95.582329317269085</v>
      </c>
      <c r="Z51" s="311">
        <f>322.9/Z118</f>
        <v>76.155660377358487</v>
      </c>
      <c r="AA51" s="250">
        <f>319.9/AA118</f>
        <v>76.076099881093924</v>
      </c>
      <c r="AB51" s="220"/>
      <c r="AC51" s="235"/>
    </row>
    <row r="52" spans="1:29" ht="18" customHeight="1" x14ac:dyDescent="0.25">
      <c r="A52" s="220"/>
      <c r="B52" s="210">
        <v>3</v>
      </c>
      <c r="C52" s="206">
        <v>2011</v>
      </c>
      <c r="D52" s="248">
        <v>91.8</v>
      </c>
      <c r="E52" s="249">
        <v>91.3</v>
      </c>
      <c r="F52" s="250">
        <v>90.6</v>
      </c>
      <c r="G52" s="251">
        <v>90.2</v>
      </c>
      <c r="H52" s="248">
        <v>90.7</v>
      </c>
      <c r="I52" s="252">
        <v>90.9</v>
      </c>
      <c r="J52" s="253">
        <v>90.7</v>
      </c>
      <c r="K52" s="250">
        <v>91</v>
      </c>
      <c r="L52" s="248">
        <v>91</v>
      </c>
      <c r="M52" s="252">
        <v>91.6</v>
      </c>
      <c r="N52" s="254">
        <v>92.1</v>
      </c>
      <c r="O52" s="255">
        <v>90.7</v>
      </c>
      <c r="P52" s="248">
        <v>92</v>
      </c>
      <c r="Q52" s="255">
        <v>92</v>
      </c>
      <c r="R52" s="223"/>
      <c r="S52" s="306">
        <f>217.4/S118</f>
        <v>95.686619718309871</v>
      </c>
      <c r="T52" s="307">
        <f>261.5/T118</f>
        <v>90.484429065743939</v>
      </c>
      <c r="U52" s="308">
        <f>283.1/U118</f>
        <v>87.9192546583851</v>
      </c>
      <c r="V52" s="284">
        <f>374.2/V118</f>
        <v>90.190407327066765</v>
      </c>
      <c r="W52" s="309">
        <f>187.3/W118</f>
        <v>98.114195914091155</v>
      </c>
      <c r="X52" s="307">
        <f>204/X118</f>
        <v>92.896174863387969</v>
      </c>
      <c r="Y52" s="310">
        <f>191.3/Y118</f>
        <v>96.03413654618474</v>
      </c>
      <c r="Z52" s="311">
        <f>348.3/Z118</f>
        <v>82.146226415094333</v>
      </c>
      <c r="AA52" s="250">
        <f>345.5/AA118</f>
        <v>82.164090368608797</v>
      </c>
      <c r="AB52" s="220"/>
      <c r="AC52" s="235"/>
    </row>
    <row r="53" spans="1:29" ht="18" customHeight="1" x14ac:dyDescent="0.25">
      <c r="A53" s="220"/>
      <c r="B53" s="210">
        <v>4</v>
      </c>
      <c r="C53" s="206">
        <v>2011</v>
      </c>
      <c r="D53" s="248">
        <v>92.1</v>
      </c>
      <c r="E53" s="249">
        <v>91.5</v>
      </c>
      <c r="F53" s="250">
        <v>90.9</v>
      </c>
      <c r="G53" s="251">
        <v>90.5</v>
      </c>
      <c r="H53" s="248">
        <v>91.1</v>
      </c>
      <c r="I53" s="252">
        <v>91.3</v>
      </c>
      <c r="J53" s="253">
        <v>91.2</v>
      </c>
      <c r="K53" s="250">
        <v>91.3</v>
      </c>
      <c r="L53" s="248">
        <v>91.3</v>
      </c>
      <c r="M53" s="252">
        <v>92</v>
      </c>
      <c r="N53" s="254">
        <v>92.3</v>
      </c>
      <c r="O53" s="255">
        <v>91.1</v>
      </c>
      <c r="P53" s="248">
        <v>92.2</v>
      </c>
      <c r="Q53" s="255">
        <v>92.2</v>
      </c>
      <c r="R53" s="223"/>
      <c r="S53" s="306">
        <f>216/S118</f>
        <v>95.070422535211279</v>
      </c>
      <c r="T53" s="307">
        <f>261.6/T118</f>
        <v>90.51903114186851</v>
      </c>
      <c r="U53" s="308">
        <f>292.7/U118</f>
        <v>90.90062111801241</v>
      </c>
      <c r="V53" s="284">
        <f>396.8/V118</f>
        <v>95.637503012774161</v>
      </c>
      <c r="W53" s="309">
        <f>187.5/W118</f>
        <v>98.218962807752746</v>
      </c>
      <c r="X53" s="307">
        <f>204/X118</f>
        <v>92.896174863387969</v>
      </c>
      <c r="Y53" s="310">
        <f>191.8/Y118</f>
        <v>96.285140562248998</v>
      </c>
      <c r="Z53" s="311">
        <f>376.1/Z118</f>
        <v>88.702830188679243</v>
      </c>
      <c r="AA53" s="250">
        <f>371.1/AA118</f>
        <v>88.252080856123669</v>
      </c>
      <c r="AB53" s="220"/>
      <c r="AC53" s="235"/>
    </row>
    <row r="54" spans="1:29" ht="18" customHeight="1" x14ac:dyDescent="0.25">
      <c r="A54" s="220"/>
      <c r="B54" s="210">
        <v>5</v>
      </c>
      <c r="C54" s="206">
        <v>2011</v>
      </c>
      <c r="D54" s="248">
        <v>92.6</v>
      </c>
      <c r="E54" s="249">
        <v>91.9</v>
      </c>
      <c r="F54" s="250">
        <v>91.3</v>
      </c>
      <c r="G54" s="251">
        <v>90.8</v>
      </c>
      <c r="H54" s="248">
        <v>91.4</v>
      </c>
      <c r="I54" s="252">
        <v>91.8</v>
      </c>
      <c r="J54" s="253">
        <v>91.5</v>
      </c>
      <c r="K54" s="250">
        <v>91.7</v>
      </c>
      <c r="L54" s="248">
        <v>91.7</v>
      </c>
      <c r="M54" s="252">
        <v>92.4</v>
      </c>
      <c r="N54" s="254">
        <v>92.8</v>
      </c>
      <c r="O54" s="255">
        <v>91.5</v>
      </c>
      <c r="P54" s="248">
        <v>92.7</v>
      </c>
      <c r="Q54" s="255">
        <v>92.7</v>
      </c>
      <c r="R54" s="223"/>
      <c r="S54" s="306">
        <f>215.7/S118</f>
        <v>94.938380281690144</v>
      </c>
      <c r="T54" s="307">
        <f>261.3/T118</f>
        <v>90.415224913494811</v>
      </c>
      <c r="U54" s="308">
        <f>294/U118</f>
        <v>91.304347826086953</v>
      </c>
      <c r="V54" s="284">
        <f>392.3/V118</f>
        <v>94.552904314292604</v>
      </c>
      <c r="W54" s="309">
        <f>187.5/W118</f>
        <v>98.218962807752746</v>
      </c>
      <c r="X54" s="307">
        <f>205.5/X118</f>
        <v>93.579234972677583</v>
      </c>
      <c r="Y54" s="310">
        <f>193.3/Y118</f>
        <v>97.03815261044177</v>
      </c>
      <c r="Z54" s="311">
        <f>382.4/Z118</f>
        <v>90.188679245283012</v>
      </c>
      <c r="AA54" s="250">
        <f>377.5/AA118</f>
        <v>89.77407847800238</v>
      </c>
      <c r="AB54" s="220"/>
      <c r="AC54" s="235"/>
    </row>
    <row r="55" spans="1:29" ht="18" customHeight="1" x14ac:dyDescent="0.25">
      <c r="A55" s="220"/>
      <c r="B55" s="210">
        <v>6</v>
      </c>
      <c r="C55" s="206">
        <v>2011</v>
      </c>
      <c r="D55" s="248">
        <v>92.9</v>
      </c>
      <c r="E55" s="249">
        <v>92.1</v>
      </c>
      <c r="F55" s="250">
        <v>91.9</v>
      </c>
      <c r="G55" s="251">
        <v>91</v>
      </c>
      <c r="H55" s="248">
        <v>91.7</v>
      </c>
      <c r="I55" s="252">
        <v>92.3</v>
      </c>
      <c r="J55" s="253">
        <v>92.1</v>
      </c>
      <c r="K55" s="250">
        <v>92.2</v>
      </c>
      <c r="L55" s="248">
        <v>92</v>
      </c>
      <c r="M55" s="252">
        <v>92.7</v>
      </c>
      <c r="N55" s="254">
        <v>93.2</v>
      </c>
      <c r="O55" s="255">
        <v>92.2</v>
      </c>
      <c r="P55" s="248">
        <v>92.8</v>
      </c>
      <c r="Q55" s="255">
        <v>93</v>
      </c>
      <c r="R55" s="223"/>
      <c r="S55" s="306">
        <f>216.1/S118</f>
        <v>95.114436619718319</v>
      </c>
      <c r="T55" s="307">
        <f>265.2/T118</f>
        <v>91.764705882352928</v>
      </c>
      <c r="U55" s="308">
        <f>294.4/U118</f>
        <v>91.428571428571416</v>
      </c>
      <c r="V55" s="284">
        <f>380.9/V118</f>
        <v>91.805254278139302</v>
      </c>
      <c r="W55" s="309">
        <f>188.8/W118</f>
        <v>98.899947616553177</v>
      </c>
      <c r="X55" s="307">
        <f>205.5/X118</f>
        <v>93.579234972677583</v>
      </c>
      <c r="Y55" s="310">
        <f>194/Y118</f>
        <v>97.389558232931734</v>
      </c>
      <c r="Z55" s="311">
        <f>367.3/Z118</f>
        <v>86.627358490566039</v>
      </c>
      <c r="AA55" s="250">
        <f>362.3/AA118</f>
        <v>86.159334126040434</v>
      </c>
      <c r="AB55" s="220"/>
      <c r="AC55" s="235"/>
    </row>
    <row r="56" spans="1:29" ht="18" customHeight="1" x14ac:dyDescent="0.25">
      <c r="A56" s="220"/>
      <c r="B56" s="210">
        <v>7</v>
      </c>
      <c r="C56" s="206">
        <v>2011</v>
      </c>
      <c r="D56" s="248">
        <v>93.5</v>
      </c>
      <c r="E56" s="249">
        <v>93.1</v>
      </c>
      <c r="F56" s="250">
        <v>92.6</v>
      </c>
      <c r="G56" s="251">
        <v>92.9</v>
      </c>
      <c r="H56" s="248">
        <v>93</v>
      </c>
      <c r="I56" s="252">
        <v>93</v>
      </c>
      <c r="J56" s="253">
        <v>92.9</v>
      </c>
      <c r="K56" s="250">
        <v>93</v>
      </c>
      <c r="L56" s="248">
        <v>92.8</v>
      </c>
      <c r="M56" s="252">
        <v>93.4</v>
      </c>
      <c r="N56" s="254">
        <v>94</v>
      </c>
      <c r="O56" s="255">
        <v>93</v>
      </c>
      <c r="P56" s="248">
        <v>93.7</v>
      </c>
      <c r="Q56" s="255">
        <v>93.4</v>
      </c>
      <c r="R56" s="223"/>
      <c r="S56" s="306">
        <f>219/S118</f>
        <v>96.390845070422543</v>
      </c>
      <c r="T56" s="307">
        <f>267.7/T118</f>
        <v>92.62975778546712</v>
      </c>
      <c r="U56" s="308">
        <f>296.2/U118</f>
        <v>91.987577639751549</v>
      </c>
      <c r="V56" s="284">
        <f>378.3/V118</f>
        <v>91.178597252349959</v>
      </c>
      <c r="W56" s="309">
        <f>189.2/W118</f>
        <v>99.109481403876373</v>
      </c>
      <c r="X56" s="307">
        <f>210.1/X118</f>
        <v>95.673952641165741</v>
      </c>
      <c r="Y56" s="310">
        <f>193.9/Y118</f>
        <v>97.339357429718874</v>
      </c>
      <c r="Z56" s="311">
        <f>363/Z118</f>
        <v>85.613207547169807</v>
      </c>
      <c r="AA56" s="250">
        <f>357.9/AA118</f>
        <v>85.112960760998803</v>
      </c>
      <c r="AB56" s="220"/>
      <c r="AC56" s="235"/>
    </row>
    <row r="57" spans="1:29" ht="18" customHeight="1" x14ac:dyDescent="0.25">
      <c r="A57" s="220"/>
      <c r="B57" s="210">
        <v>8</v>
      </c>
      <c r="C57" s="206">
        <v>2011</v>
      </c>
      <c r="D57" s="248">
        <v>93.7</v>
      </c>
      <c r="E57" s="249">
        <v>93.2</v>
      </c>
      <c r="F57" s="250">
        <v>92.8</v>
      </c>
      <c r="G57" s="251">
        <v>93.3</v>
      </c>
      <c r="H57" s="248">
        <v>93.3</v>
      </c>
      <c r="I57" s="252">
        <v>93.3</v>
      </c>
      <c r="J57" s="253">
        <v>93</v>
      </c>
      <c r="K57" s="250">
        <v>93.2</v>
      </c>
      <c r="L57" s="248">
        <v>93</v>
      </c>
      <c r="M57" s="252">
        <v>93.6</v>
      </c>
      <c r="N57" s="254">
        <v>94.1</v>
      </c>
      <c r="O57" s="255">
        <v>93.2</v>
      </c>
      <c r="P57" s="248">
        <v>93.8</v>
      </c>
      <c r="Q57" s="255">
        <v>93.8</v>
      </c>
      <c r="R57" s="223"/>
      <c r="S57" s="306">
        <f>219.7/S118</f>
        <v>96.698943661971839</v>
      </c>
      <c r="T57" s="307">
        <f>268.8/T118</f>
        <v>93.010380622837374</v>
      </c>
      <c r="U57" s="308">
        <f>296.9/U118</f>
        <v>92.204968944099363</v>
      </c>
      <c r="V57" s="284">
        <f>377.7/V118</f>
        <v>91.033984092552416</v>
      </c>
      <c r="W57" s="309">
        <f>189.3/W118</f>
        <v>99.161864850707175</v>
      </c>
      <c r="X57" s="307">
        <f>214.1/X118</f>
        <v>97.495446265938057</v>
      </c>
      <c r="Y57" s="310">
        <f>194.3/Y118</f>
        <v>97.540160642570285</v>
      </c>
      <c r="Z57" s="311">
        <f>368.9/Z118</f>
        <v>87.004716981132063</v>
      </c>
      <c r="AA57" s="318">
        <f>363.9/AA118</f>
        <v>86.539833531510098</v>
      </c>
      <c r="AB57" s="220"/>
      <c r="AC57" s="235"/>
    </row>
    <row r="58" spans="1:29" ht="18" customHeight="1" x14ac:dyDescent="0.25">
      <c r="A58" s="220"/>
      <c r="B58" s="210">
        <v>9</v>
      </c>
      <c r="C58" s="206">
        <v>2011</v>
      </c>
      <c r="D58" s="248">
        <v>94.1</v>
      </c>
      <c r="E58" s="249">
        <v>93.6</v>
      </c>
      <c r="F58" s="250">
        <v>93.1</v>
      </c>
      <c r="G58" s="251">
        <v>93.6</v>
      </c>
      <c r="H58" s="248">
        <v>93.7</v>
      </c>
      <c r="I58" s="252">
        <v>93.5</v>
      </c>
      <c r="J58" s="253">
        <v>93.2</v>
      </c>
      <c r="K58" s="250">
        <v>93.5</v>
      </c>
      <c r="L58" s="248">
        <v>93.3</v>
      </c>
      <c r="M58" s="252">
        <v>93.9</v>
      </c>
      <c r="N58" s="254">
        <v>94.1</v>
      </c>
      <c r="O58" s="255">
        <v>93.5</v>
      </c>
      <c r="P58" s="248">
        <v>94.3</v>
      </c>
      <c r="Q58" s="255">
        <v>94.1</v>
      </c>
      <c r="R58" s="223"/>
      <c r="S58" s="306">
        <f>220.2/S118</f>
        <v>96.91901408450704</v>
      </c>
      <c r="T58" s="307">
        <f>272.6/T118</f>
        <v>94.325259515570934</v>
      </c>
      <c r="U58" s="308">
        <f>294.9/U118</f>
        <v>91.583850931677006</v>
      </c>
      <c r="V58" s="284">
        <f>377.7/V118</f>
        <v>91.033984092552416</v>
      </c>
      <c r="W58" s="309">
        <f>189.1/W118</f>
        <v>99.057097957045571</v>
      </c>
      <c r="X58" s="307">
        <f>213.8/X118</f>
        <v>97.358834244080143</v>
      </c>
      <c r="Y58" s="310">
        <f>194.3/Y118</f>
        <v>97.540160642570285</v>
      </c>
      <c r="Z58" s="311">
        <f>368.9/Z118</f>
        <v>87.004716981132063</v>
      </c>
      <c r="AA58" s="318">
        <f>363.9/AA118</f>
        <v>86.539833531510098</v>
      </c>
      <c r="AB58" s="220"/>
      <c r="AC58" s="235"/>
    </row>
    <row r="59" spans="1:29" ht="18" customHeight="1" x14ac:dyDescent="0.25">
      <c r="A59" s="220"/>
      <c r="B59" s="210">
        <v>10</v>
      </c>
      <c r="C59" s="206">
        <v>2011</v>
      </c>
      <c r="D59" s="248">
        <v>94.5</v>
      </c>
      <c r="E59" s="249">
        <v>94.1</v>
      </c>
      <c r="F59" s="250">
        <v>93.7</v>
      </c>
      <c r="G59" s="251">
        <v>94.3</v>
      </c>
      <c r="H59" s="248">
        <v>94.3</v>
      </c>
      <c r="I59" s="252">
        <v>94.2</v>
      </c>
      <c r="J59" s="253">
        <v>93.8</v>
      </c>
      <c r="K59" s="250">
        <v>94.1</v>
      </c>
      <c r="L59" s="248">
        <v>93.7</v>
      </c>
      <c r="M59" s="252">
        <v>94.4</v>
      </c>
      <c r="N59" s="254">
        <v>94.7</v>
      </c>
      <c r="O59" s="255">
        <v>94.1</v>
      </c>
      <c r="P59" s="248">
        <v>94.8</v>
      </c>
      <c r="Q59" s="255">
        <v>94.7</v>
      </c>
      <c r="R59" s="223"/>
      <c r="S59" s="306">
        <f>221.6/S118</f>
        <v>97.535211267605646</v>
      </c>
      <c r="T59" s="307">
        <f>276.9/T118</f>
        <v>95.813148788927322</v>
      </c>
      <c r="U59" s="308">
        <f>296.3/U118</f>
        <v>92.018633540372676</v>
      </c>
      <c r="V59" s="284">
        <f>392.4/V118</f>
        <v>94.577006507592188</v>
      </c>
      <c r="W59" s="309">
        <f>187.6/W118</f>
        <v>98.271346254583548</v>
      </c>
      <c r="X59" s="307">
        <f>213.2/X118</f>
        <v>97.085610200364286</v>
      </c>
      <c r="Y59" s="310">
        <f>193.9/Y118</f>
        <v>97.339357429718874</v>
      </c>
      <c r="Z59" s="311">
        <f>382.8/Z118</f>
        <v>90.283018867924525</v>
      </c>
      <c r="AA59" s="250">
        <f>377.9/AA118</f>
        <v>89.869203329369796</v>
      </c>
      <c r="AB59" s="220"/>
      <c r="AC59" s="235"/>
    </row>
    <row r="60" spans="1:29" ht="18" customHeight="1" x14ac:dyDescent="0.25">
      <c r="A60" s="220"/>
      <c r="B60" s="210">
        <v>11</v>
      </c>
      <c r="C60" s="206">
        <v>2011</v>
      </c>
      <c r="D60" s="248">
        <v>94.6</v>
      </c>
      <c r="E60" s="249">
        <v>94.4</v>
      </c>
      <c r="F60" s="250">
        <v>93.9</v>
      </c>
      <c r="G60" s="251">
        <v>94.7</v>
      </c>
      <c r="H60" s="248">
        <v>94.5</v>
      </c>
      <c r="I60" s="252">
        <v>94.6</v>
      </c>
      <c r="J60" s="253">
        <v>94.2</v>
      </c>
      <c r="K60" s="250">
        <v>94.4</v>
      </c>
      <c r="L60" s="248">
        <v>94</v>
      </c>
      <c r="M60" s="252">
        <v>94.7</v>
      </c>
      <c r="N60" s="254">
        <v>94.8</v>
      </c>
      <c r="O60" s="255">
        <v>94.4</v>
      </c>
      <c r="P60" s="248">
        <v>94.9</v>
      </c>
      <c r="Q60" s="255">
        <v>94.8</v>
      </c>
      <c r="R60" s="223"/>
      <c r="S60" s="306">
        <f>223.2/S118</f>
        <v>98.239436619718319</v>
      </c>
      <c r="T60" s="307">
        <f>286.2/T118</f>
        <v>99.031141868512108</v>
      </c>
      <c r="U60" s="308">
        <f>303.7/U118</f>
        <v>94.31677018633539</v>
      </c>
      <c r="V60" s="284">
        <f>413.1/V118</f>
        <v>99.566160520607383</v>
      </c>
      <c r="W60" s="309">
        <f>187.7/W118</f>
        <v>98.323729701414351</v>
      </c>
      <c r="X60" s="307">
        <f>213.4/X118</f>
        <v>97.17668488160291</v>
      </c>
      <c r="Y60" s="310">
        <f>194.3/Y118</f>
        <v>97.540160642570285</v>
      </c>
      <c r="Z60" s="311">
        <f>397.1/Z118</f>
        <v>93.655660377358487</v>
      </c>
      <c r="AA60" s="250">
        <f>392.3/AA118</f>
        <v>93.29369797859691</v>
      </c>
      <c r="AB60" s="220"/>
      <c r="AC60" s="235"/>
    </row>
    <row r="61" spans="1:29" ht="18" customHeight="1" x14ac:dyDescent="0.25">
      <c r="A61" s="220"/>
      <c r="B61" s="211">
        <v>12</v>
      </c>
      <c r="C61" s="208">
        <v>2011</v>
      </c>
      <c r="D61" s="256">
        <v>94.8</v>
      </c>
      <c r="E61" s="257">
        <v>94.6</v>
      </c>
      <c r="F61" s="258">
        <v>94.1</v>
      </c>
      <c r="G61" s="259">
        <v>94.9</v>
      </c>
      <c r="H61" s="256">
        <v>94.9</v>
      </c>
      <c r="I61" s="260">
        <v>94.8</v>
      </c>
      <c r="J61" s="261">
        <v>94.3</v>
      </c>
      <c r="K61" s="258">
        <v>94.8</v>
      </c>
      <c r="L61" s="256">
        <v>94.2</v>
      </c>
      <c r="M61" s="260">
        <v>94.9</v>
      </c>
      <c r="N61" s="262">
        <v>94.9</v>
      </c>
      <c r="O61" s="263">
        <v>94.5</v>
      </c>
      <c r="P61" s="256">
        <v>95.2</v>
      </c>
      <c r="Q61" s="263">
        <v>95.1</v>
      </c>
      <c r="R61" s="223"/>
      <c r="S61" s="312">
        <f>223.6/S118</f>
        <v>98.41549295774648</v>
      </c>
      <c r="T61" s="313">
        <f>286.5/T118</f>
        <v>99.134948096885807</v>
      </c>
      <c r="U61" s="314">
        <f>311.1/U118</f>
        <v>96.614906832298132</v>
      </c>
      <c r="V61" s="294">
        <f>419.9/V118</f>
        <v>101.2051096649795</v>
      </c>
      <c r="W61" s="315">
        <f>188.4/W118</f>
        <v>98.690413829229968</v>
      </c>
      <c r="X61" s="313">
        <f>213.7/X118</f>
        <v>97.313296903460824</v>
      </c>
      <c r="Y61" s="316">
        <f>195.1/Y118</f>
        <v>97.941767068273094</v>
      </c>
      <c r="Z61" s="317">
        <f>409.4/Z118</f>
        <v>96.556603773584897</v>
      </c>
      <c r="AA61" s="258">
        <f>411.1/AA118</f>
        <v>97.764565992865641</v>
      </c>
      <c r="AB61" s="220"/>
      <c r="AC61" s="235"/>
    </row>
    <row r="62" spans="1:29" ht="18" customHeight="1" x14ac:dyDescent="0.25">
      <c r="A62" s="220"/>
      <c r="B62" s="209">
        <v>1</v>
      </c>
      <c r="C62" s="204">
        <v>2012</v>
      </c>
      <c r="D62" s="264">
        <v>95.2</v>
      </c>
      <c r="E62" s="265">
        <v>95</v>
      </c>
      <c r="F62" s="266">
        <v>94.2</v>
      </c>
      <c r="G62" s="267">
        <v>95.6</v>
      </c>
      <c r="H62" s="264">
        <v>95.4</v>
      </c>
      <c r="I62" s="268">
        <v>95</v>
      </c>
      <c r="J62" s="269">
        <v>94.9</v>
      </c>
      <c r="K62" s="266">
        <v>95</v>
      </c>
      <c r="L62" s="264">
        <v>94.6</v>
      </c>
      <c r="M62" s="268">
        <v>95.6</v>
      </c>
      <c r="N62" s="270">
        <v>95.5</v>
      </c>
      <c r="O62" s="271">
        <v>95.1</v>
      </c>
      <c r="P62" s="264">
        <v>95.9</v>
      </c>
      <c r="Q62" s="271">
        <v>95.5</v>
      </c>
      <c r="R62" s="223"/>
      <c r="S62" s="299">
        <f>224.5/S118</f>
        <v>98.811619718309871</v>
      </c>
      <c r="T62" s="300">
        <f>287.7/T118</f>
        <v>99.550173010380618</v>
      </c>
      <c r="U62" s="301">
        <f>312/U118</f>
        <v>96.894409937888199</v>
      </c>
      <c r="V62" s="302">
        <f>409.3/V118</f>
        <v>98.650277175222953</v>
      </c>
      <c r="W62" s="303">
        <f>188.6/W118</f>
        <v>98.795180722891558</v>
      </c>
      <c r="X62" s="300">
        <f>213.7/X118</f>
        <v>97.313296903460824</v>
      </c>
      <c r="Y62" s="304">
        <f>194.9/Y118</f>
        <v>97.841365461847388</v>
      </c>
      <c r="Z62" s="305">
        <f>407.4/Z118</f>
        <v>96.084905660377345</v>
      </c>
      <c r="AA62" s="266">
        <f>402.7/AA118</f>
        <v>95.766944114149823</v>
      </c>
      <c r="AB62" s="220"/>
      <c r="AC62" s="235"/>
    </row>
    <row r="63" spans="1:29" ht="18" customHeight="1" x14ac:dyDescent="0.25">
      <c r="A63" s="220"/>
      <c r="B63" s="205">
        <v>2</v>
      </c>
      <c r="C63" s="206">
        <v>2012</v>
      </c>
      <c r="D63" s="248">
        <v>95.6</v>
      </c>
      <c r="E63" s="249">
        <v>95.4</v>
      </c>
      <c r="F63" s="250">
        <v>95</v>
      </c>
      <c r="G63" s="251">
        <v>96.1</v>
      </c>
      <c r="H63" s="248">
        <v>96.1</v>
      </c>
      <c r="I63" s="252">
        <v>95.5</v>
      </c>
      <c r="J63" s="253">
        <v>95.5</v>
      </c>
      <c r="K63" s="250">
        <v>95.6</v>
      </c>
      <c r="L63" s="248">
        <v>95.6</v>
      </c>
      <c r="M63" s="252">
        <v>96.1</v>
      </c>
      <c r="N63" s="254">
        <v>96.1</v>
      </c>
      <c r="O63" s="255">
        <v>95.7</v>
      </c>
      <c r="P63" s="248">
        <v>96.5</v>
      </c>
      <c r="Q63" s="255">
        <v>96.1</v>
      </c>
      <c r="R63" s="223"/>
      <c r="S63" s="306">
        <f>226.6/S118</f>
        <v>99.735915492957758</v>
      </c>
      <c r="T63" s="307">
        <f>290.5/T118</f>
        <v>100.51903114186851</v>
      </c>
      <c r="U63" s="308">
        <f>318/U118</f>
        <v>98.757763975155271</v>
      </c>
      <c r="V63" s="284">
        <f>409/V118</f>
        <v>98.577970595324174</v>
      </c>
      <c r="W63" s="309">
        <f>189.4/W118</f>
        <v>99.214248297537978</v>
      </c>
      <c r="X63" s="307">
        <f>214.7/X118</f>
        <v>97.768670309653899</v>
      </c>
      <c r="Y63" s="310">
        <f>195.3/Y118</f>
        <v>98.0421686746988</v>
      </c>
      <c r="Z63" s="311">
        <f>407.4/Z118</f>
        <v>96.084905660377345</v>
      </c>
      <c r="AA63" s="250">
        <f>402.3/AA118</f>
        <v>95.671819262782407</v>
      </c>
      <c r="AB63" s="220"/>
      <c r="AC63" s="235"/>
    </row>
    <row r="64" spans="1:29" ht="18" customHeight="1" x14ac:dyDescent="0.25">
      <c r="A64" s="220"/>
      <c r="B64" s="205">
        <v>3</v>
      </c>
      <c r="C64" s="206">
        <v>2012</v>
      </c>
      <c r="D64" s="248">
        <v>96.7</v>
      </c>
      <c r="E64" s="249">
        <v>96.5</v>
      </c>
      <c r="F64" s="250">
        <v>96.7</v>
      </c>
      <c r="G64" s="251">
        <v>96.9</v>
      </c>
      <c r="H64" s="248">
        <v>97.1</v>
      </c>
      <c r="I64" s="252">
        <v>96.6</v>
      </c>
      <c r="J64" s="253">
        <v>96.3</v>
      </c>
      <c r="K64" s="250">
        <v>96.7</v>
      </c>
      <c r="L64" s="248">
        <v>97</v>
      </c>
      <c r="M64" s="252">
        <v>97.2</v>
      </c>
      <c r="N64" s="254">
        <v>97</v>
      </c>
      <c r="O64" s="255">
        <v>96.5</v>
      </c>
      <c r="P64" s="248">
        <v>97.2</v>
      </c>
      <c r="Q64" s="255">
        <v>97</v>
      </c>
      <c r="R64" s="223"/>
      <c r="S64" s="306">
        <f>228.2/S118</f>
        <v>100.44014084507043</v>
      </c>
      <c r="T64" s="307">
        <f>290.5/T118</f>
        <v>100.51903114186851</v>
      </c>
      <c r="U64" s="308">
        <f>317.3/U118</f>
        <v>98.540372670807457</v>
      </c>
      <c r="V64" s="284">
        <f>414.2/V118</f>
        <v>99.831284646902859</v>
      </c>
      <c r="W64" s="309">
        <f>188.2/W118</f>
        <v>98.585646935568349</v>
      </c>
      <c r="X64" s="307">
        <f>214.4/X118</f>
        <v>97.632058287795985</v>
      </c>
      <c r="Y64" s="310">
        <f>194.8/Y118</f>
        <v>97.791164658634543</v>
      </c>
      <c r="Z64" s="311">
        <f>411.4/Z118</f>
        <v>97.028301886792448</v>
      </c>
      <c r="AA64" s="250">
        <f>406.7/AA118</f>
        <v>96.71819262782401</v>
      </c>
      <c r="AB64" s="220"/>
      <c r="AC64" s="235"/>
    </row>
    <row r="65" spans="1:48" ht="18" customHeight="1" x14ac:dyDescent="0.25">
      <c r="A65" s="220"/>
      <c r="B65" s="205">
        <v>4</v>
      </c>
      <c r="C65" s="206">
        <v>2012</v>
      </c>
      <c r="D65" s="248">
        <v>97.1</v>
      </c>
      <c r="E65" s="249">
        <v>96.9</v>
      </c>
      <c r="F65" s="250">
        <v>97.2</v>
      </c>
      <c r="G65" s="251">
        <v>97.1</v>
      </c>
      <c r="H65" s="248">
        <v>97.5</v>
      </c>
      <c r="I65" s="252">
        <v>97.1</v>
      </c>
      <c r="J65" s="253">
        <v>96.6</v>
      </c>
      <c r="K65" s="250">
        <v>97.1</v>
      </c>
      <c r="L65" s="248">
        <v>97.3</v>
      </c>
      <c r="M65" s="252">
        <v>97.6</v>
      </c>
      <c r="N65" s="254">
        <v>97.4</v>
      </c>
      <c r="O65" s="255">
        <v>96.9</v>
      </c>
      <c r="P65" s="248">
        <v>97.7</v>
      </c>
      <c r="Q65" s="255">
        <v>97.4</v>
      </c>
      <c r="R65" s="223"/>
      <c r="S65" s="306">
        <f>227.9/S118</f>
        <v>100.30809859154931</v>
      </c>
      <c r="T65" s="307">
        <f>290.4/T118</f>
        <v>100.48442906574394</v>
      </c>
      <c r="U65" s="308">
        <f>317.1/U118</f>
        <v>98.478260869565219</v>
      </c>
      <c r="V65" s="284">
        <f>422.2/V118</f>
        <v>101.75946011087008</v>
      </c>
      <c r="W65" s="309">
        <f>188.6/W118</f>
        <v>98.795180722891558</v>
      </c>
      <c r="X65" s="307">
        <f>218/X118</f>
        <v>99.271402550091068</v>
      </c>
      <c r="Y65" s="310">
        <f>198.6/Y118</f>
        <v>99.698795180722882</v>
      </c>
      <c r="Z65" s="311">
        <f>431.6/Z118</f>
        <v>101.79245283018868</v>
      </c>
      <c r="AA65" s="250">
        <f>425.5/AA118</f>
        <v>101.18906064209274</v>
      </c>
      <c r="AB65" s="220"/>
      <c r="AC65" s="235"/>
    </row>
    <row r="66" spans="1:48" ht="18" customHeight="1" x14ac:dyDescent="0.25">
      <c r="A66" s="220"/>
      <c r="B66" s="205">
        <v>5</v>
      </c>
      <c r="C66" s="206">
        <v>2012</v>
      </c>
      <c r="D66" s="248">
        <v>97.3</v>
      </c>
      <c r="E66" s="249">
        <v>97.1</v>
      </c>
      <c r="F66" s="250">
        <v>97.4</v>
      </c>
      <c r="G66" s="251">
        <v>97.1</v>
      </c>
      <c r="H66" s="248">
        <v>97.4</v>
      </c>
      <c r="I66" s="252">
        <v>97.2</v>
      </c>
      <c r="J66" s="253">
        <v>96.9</v>
      </c>
      <c r="K66" s="250">
        <v>97.2</v>
      </c>
      <c r="L66" s="248">
        <v>97.4</v>
      </c>
      <c r="M66" s="252">
        <v>97.7</v>
      </c>
      <c r="N66" s="254">
        <v>97.4</v>
      </c>
      <c r="O66" s="255">
        <v>97</v>
      </c>
      <c r="P66" s="248">
        <v>97.6</v>
      </c>
      <c r="Q66" s="255">
        <v>97.4</v>
      </c>
      <c r="R66" s="223"/>
      <c r="S66" s="306">
        <f>226.9/S118</f>
        <v>99.867957746478879</v>
      </c>
      <c r="T66" s="307">
        <f>288.9/T118</f>
        <v>99.965397923875415</v>
      </c>
      <c r="U66" s="308">
        <f>323/U118</f>
        <v>100.31055900621118</v>
      </c>
      <c r="V66" s="284">
        <f>426.6/V118</f>
        <v>102.81995661605207</v>
      </c>
      <c r="W66" s="309">
        <f>190.3/W118</f>
        <v>99.6856993190152</v>
      </c>
      <c r="X66" s="307">
        <f>218.8/X118</f>
        <v>99.635701275045534</v>
      </c>
      <c r="Y66" s="310">
        <f>199.4/Y118</f>
        <v>100.10040160642571</v>
      </c>
      <c r="Z66" s="311">
        <f>435.6/Z118</f>
        <v>102.73584905660377</v>
      </c>
      <c r="AA66" s="250">
        <f>429.5/AA118</f>
        <v>102.14030915576694</v>
      </c>
      <c r="AB66" s="220"/>
      <c r="AC66" s="235"/>
    </row>
    <row r="67" spans="1:48" ht="18" customHeight="1" x14ac:dyDescent="0.25">
      <c r="A67" s="220"/>
      <c r="B67" s="205">
        <v>6</v>
      </c>
      <c r="C67" s="206">
        <v>2012</v>
      </c>
      <c r="D67" s="248">
        <v>97.5</v>
      </c>
      <c r="E67" s="249">
        <v>97.5</v>
      </c>
      <c r="F67" s="250">
        <v>97.6</v>
      </c>
      <c r="G67" s="251">
        <v>97.1</v>
      </c>
      <c r="H67" s="248">
        <v>97.4</v>
      </c>
      <c r="I67" s="252">
        <v>97.4</v>
      </c>
      <c r="J67" s="253">
        <v>97.6</v>
      </c>
      <c r="K67" s="250">
        <v>97.4</v>
      </c>
      <c r="L67" s="248">
        <v>97.4</v>
      </c>
      <c r="M67" s="252">
        <v>97.6</v>
      </c>
      <c r="N67" s="254">
        <v>97.9</v>
      </c>
      <c r="O67" s="255">
        <v>97.4</v>
      </c>
      <c r="P67" s="248">
        <v>97.8</v>
      </c>
      <c r="Q67" s="255">
        <v>97.2</v>
      </c>
      <c r="R67" s="223"/>
      <c r="S67" s="306">
        <f>226.8/S118</f>
        <v>99.823943661971839</v>
      </c>
      <c r="T67" s="307">
        <f>289.1/T118</f>
        <v>100.03460207612457</v>
      </c>
      <c r="U67" s="308">
        <f>324/U118</f>
        <v>100.62111801242236</v>
      </c>
      <c r="V67" s="284">
        <f>410.3/V118</f>
        <v>98.891299108218846</v>
      </c>
      <c r="W67" s="309">
        <f>190.8/W118</f>
        <v>99.947616553169198</v>
      </c>
      <c r="X67" s="307">
        <f>219.1/X118</f>
        <v>99.772313296903448</v>
      </c>
      <c r="Y67" s="310">
        <f>199.9/Y118</f>
        <v>100.35140562248996</v>
      </c>
      <c r="Z67" s="311">
        <f>425.7/Z118</f>
        <v>100.40094339622641</v>
      </c>
      <c r="AA67" s="250">
        <f>421.1/AA118</f>
        <v>100.14268727705114</v>
      </c>
      <c r="AB67" s="220"/>
      <c r="AC67" s="235"/>
    </row>
    <row r="68" spans="1:48" ht="18" customHeight="1" x14ac:dyDescent="0.25">
      <c r="A68" s="220"/>
      <c r="B68" s="205">
        <v>7</v>
      </c>
      <c r="C68" s="206">
        <v>2012</v>
      </c>
      <c r="D68" s="248">
        <v>97.9</v>
      </c>
      <c r="E68" s="249">
        <v>98</v>
      </c>
      <c r="F68" s="250">
        <v>97.9</v>
      </c>
      <c r="G68" s="251">
        <v>98.1</v>
      </c>
      <c r="H68" s="248">
        <v>97.7</v>
      </c>
      <c r="I68" s="252">
        <v>97.6</v>
      </c>
      <c r="J68" s="253">
        <v>97.9</v>
      </c>
      <c r="K68" s="250">
        <v>97.8</v>
      </c>
      <c r="L68" s="248">
        <v>97.7</v>
      </c>
      <c r="M68" s="252">
        <v>98</v>
      </c>
      <c r="N68" s="254">
        <v>98.2</v>
      </c>
      <c r="O68" s="255">
        <v>97.7</v>
      </c>
      <c r="P68" s="248">
        <v>98.3</v>
      </c>
      <c r="Q68" s="255">
        <v>97.7</v>
      </c>
      <c r="R68" s="223"/>
      <c r="S68" s="306">
        <f>227.1/S118</f>
        <v>99.95598591549296</v>
      </c>
      <c r="T68" s="307">
        <f>289.9/T118</f>
        <v>100.3114186851211</v>
      </c>
      <c r="U68" s="308">
        <f>325.3/U118</f>
        <v>101.02484472049689</v>
      </c>
      <c r="V68" s="284">
        <f>378.6/V118</f>
        <v>91.250903832248738</v>
      </c>
      <c r="W68" s="309">
        <f>191/W118</f>
        <v>100.0523834468308</v>
      </c>
      <c r="X68" s="307">
        <f>220.2/X118</f>
        <v>100.27322404371583</v>
      </c>
      <c r="Y68" s="310">
        <f>200/Y118</f>
        <v>100.40160642570281</v>
      </c>
      <c r="Z68" s="311">
        <f>401.1/Z118</f>
        <v>94.59905660377359</v>
      </c>
      <c r="AA68" s="250">
        <f>394.3/AA118</f>
        <v>93.769322235434004</v>
      </c>
      <c r="AB68" s="220"/>
      <c r="AC68" s="235"/>
    </row>
    <row r="69" spans="1:48" ht="18" customHeight="1" x14ac:dyDescent="0.25">
      <c r="A69" s="220"/>
      <c r="B69" s="205">
        <v>8</v>
      </c>
      <c r="C69" s="206">
        <v>2012</v>
      </c>
      <c r="D69" s="248">
        <v>98</v>
      </c>
      <c r="E69" s="249">
        <v>98.2</v>
      </c>
      <c r="F69" s="250">
        <v>98</v>
      </c>
      <c r="G69" s="251">
        <v>98.3</v>
      </c>
      <c r="H69" s="248">
        <v>98</v>
      </c>
      <c r="I69" s="252">
        <v>97.8</v>
      </c>
      <c r="J69" s="253">
        <v>98</v>
      </c>
      <c r="K69" s="250">
        <v>97.9</v>
      </c>
      <c r="L69" s="248">
        <v>98</v>
      </c>
      <c r="M69" s="252">
        <v>98.2</v>
      </c>
      <c r="N69" s="254">
        <v>98.4</v>
      </c>
      <c r="O69" s="255">
        <v>98</v>
      </c>
      <c r="P69" s="248">
        <v>98.3</v>
      </c>
      <c r="Q69" s="255">
        <v>97.9</v>
      </c>
      <c r="R69" s="223"/>
      <c r="S69" s="306">
        <f>227.9/S118</f>
        <v>100.30809859154931</v>
      </c>
      <c r="T69" s="307">
        <f>290/T118</f>
        <v>100.34602076124567</v>
      </c>
      <c r="U69" s="308">
        <f>324.2/U118</f>
        <v>100.68322981366458</v>
      </c>
      <c r="V69" s="284">
        <f>388/V118</f>
        <v>93.516510002410214</v>
      </c>
      <c r="W69" s="309">
        <f>191.5/W118</f>
        <v>100.3143006809848</v>
      </c>
      <c r="X69" s="307">
        <f>219.1/X118</f>
        <v>99.772313296903448</v>
      </c>
      <c r="Y69" s="310">
        <f>200.5/Y118</f>
        <v>100.65261044176707</v>
      </c>
      <c r="Z69" s="311">
        <f>406.6/Z118</f>
        <v>95.896226415094347</v>
      </c>
      <c r="AA69" s="250">
        <f>399.9/AA118</f>
        <v>95.101070154577883</v>
      </c>
      <c r="AB69" s="220"/>
      <c r="AC69" s="235"/>
    </row>
    <row r="70" spans="1:48" ht="18" customHeight="1" x14ac:dyDescent="0.25">
      <c r="A70" s="220"/>
      <c r="B70" s="205">
        <v>9</v>
      </c>
      <c r="C70" s="206">
        <v>2012</v>
      </c>
      <c r="D70" s="248">
        <v>98.9</v>
      </c>
      <c r="E70" s="249">
        <v>98.8</v>
      </c>
      <c r="F70" s="250">
        <v>98.8</v>
      </c>
      <c r="G70" s="251">
        <v>99.2</v>
      </c>
      <c r="H70" s="248">
        <v>98.8</v>
      </c>
      <c r="I70" s="252">
        <v>98.7</v>
      </c>
      <c r="J70" s="253">
        <v>98.9</v>
      </c>
      <c r="K70" s="250">
        <v>98.8</v>
      </c>
      <c r="L70" s="248">
        <v>99.1</v>
      </c>
      <c r="M70" s="252">
        <v>99</v>
      </c>
      <c r="N70" s="254">
        <v>99.1</v>
      </c>
      <c r="O70" s="255">
        <v>98.8</v>
      </c>
      <c r="P70" s="248">
        <v>99.2</v>
      </c>
      <c r="Q70" s="255">
        <v>99</v>
      </c>
      <c r="R70" s="223"/>
      <c r="S70" s="306">
        <f>227.5/S118</f>
        <v>100.13204225352113</v>
      </c>
      <c r="T70" s="307">
        <f>289.8/T118</f>
        <v>100.27681660899654</v>
      </c>
      <c r="U70" s="308">
        <f>323.5/U118</f>
        <v>100.46583850931677</v>
      </c>
      <c r="V70" s="284">
        <f>412.7/V118</f>
        <v>99.469751747409006</v>
      </c>
      <c r="W70" s="309">
        <f>192.5/W118</f>
        <v>100.83813514929282</v>
      </c>
      <c r="X70" s="307">
        <f>223.2/X118</f>
        <v>101.63934426229507</v>
      </c>
      <c r="Y70" s="310">
        <f>200.6/Y118</f>
        <v>100.70281124497991</v>
      </c>
      <c r="Z70" s="311">
        <f>434/Z118</f>
        <v>102.35849056603773</v>
      </c>
      <c r="AA70" s="250">
        <f>427.5/AA118</f>
        <v>101.66468489892985</v>
      </c>
      <c r="AB70" s="220"/>
      <c r="AC70" s="235"/>
    </row>
    <row r="71" spans="1:48" ht="18" customHeight="1" x14ac:dyDescent="0.25">
      <c r="A71" s="220"/>
      <c r="B71" s="205">
        <v>10</v>
      </c>
      <c r="C71" s="206">
        <v>2012</v>
      </c>
      <c r="D71" s="248">
        <v>99.4</v>
      </c>
      <c r="E71" s="249">
        <v>99.4</v>
      </c>
      <c r="F71" s="250">
        <v>99.4</v>
      </c>
      <c r="G71" s="251">
        <v>99.7</v>
      </c>
      <c r="H71" s="248">
        <v>99.5</v>
      </c>
      <c r="I71" s="252">
        <v>99.4</v>
      </c>
      <c r="J71" s="253">
        <v>99.5</v>
      </c>
      <c r="K71" s="250">
        <v>99.4</v>
      </c>
      <c r="L71" s="248">
        <v>99.7</v>
      </c>
      <c r="M71" s="252">
        <v>99.6</v>
      </c>
      <c r="N71" s="254">
        <v>99.7</v>
      </c>
      <c r="O71" s="255">
        <v>99.6</v>
      </c>
      <c r="P71" s="248">
        <v>99.6</v>
      </c>
      <c r="Q71" s="255">
        <v>99.6</v>
      </c>
      <c r="R71" s="223"/>
      <c r="S71" s="306">
        <f>226.8/S118</f>
        <v>99.823943661971839</v>
      </c>
      <c r="T71" s="307">
        <f>285.9/T118</f>
        <v>98.927335640138395</v>
      </c>
      <c r="U71" s="308">
        <f>324/U118</f>
        <v>100.62111801242236</v>
      </c>
      <c r="V71" s="284">
        <f>433/V118</f>
        <v>104.36249698722584</v>
      </c>
      <c r="W71" s="309">
        <f>192.5/W118</f>
        <v>100.83813514929282</v>
      </c>
      <c r="X71" s="307">
        <f>224.1/X118</f>
        <v>102.04918032786884</v>
      </c>
      <c r="Y71" s="310">
        <f>201.4/Y118</f>
        <v>101.10441767068274</v>
      </c>
      <c r="Z71" s="311">
        <f>436.4/Z118</f>
        <v>102.92452830188678</v>
      </c>
      <c r="AA71" s="250">
        <f>443.5/AA118</f>
        <v>105.46967895362663</v>
      </c>
      <c r="AB71" s="220"/>
      <c r="AC71" s="235"/>
    </row>
    <row r="72" spans="1:48" ht="18" customHeight="1" x14ac:dyDescent="0.25">
      <c r="A72" s="220"/>
      <c r="B72" s="205">
        <v>11</v>
      </c>
      <c r="C72" s="206">
        <v>2012</v>
      </c>
      <c r="D72" s="248">
        <v>99.6</v>
      </c>
      <c r="E72" s="249">
        <v>99.8</v>
      </c>
      <c r="F72" s="250">
        <v>99.6</v>
      </c>
      <c r="G72" s="251">
        <v>100</v>
      </c>
      <c r="H72" s="248">
        <v>99.8</v>
      </c>
      <c r="I72" s="252">
        <v>99.6</v>
      </c>
      <c r="J72" s="253">
        <v>99.7</v>
      </c>
      <c r="K72" s="250">
        <v>99.7</v>
      </c>
      <c r="L72" s="248">
        <v>99.8</v>
      </c>
      <c r="M72" s="252">
        <v>99.8</v>
      </c>
      <c r="N72" s="254">
        <v>99.9</v>
      </c>
      <c r="O72" s="255">
        <v>99.8</v>
      </c>
      <c r="P72" s="248">
        <v>99.8</v>
      </c>
      <c r="Q72" s="255">
        <v>99.8</v>
      </c>
      <c r="R72" s="223"/>
      <c r="S72" s="306">
        <f>227.5/S118</f>
        <v>100.13204225352113</v>
      </c>
      <c r="T72" s="307">
        <f>285.9/T118</f>
        <v>98.927335640138395</v>
      </c>
      <c r="U72" s="308">
        <f>326.4/U118</f>
        <v>101.36645962732918</v>
      </c>
      <c r="V72" s="284">
        <f>439.3/V118</f>
        <v>105.88093516510003</v>
      </c>
      <c r="W72" s="309">
        <f>193.2/W118</f>
        <v>101.20481927710843</v>
      </c>
      <c r="X72" s="307">
        <f>225.1/X118</f>
        <v>102.50455373406191</v>
      </c>
      <c r="Y72" s="310">
        <f>202.1/Y118</f>
        <v>101.45582329317268</v>
      </c>
      <c r="Z72" s="311">
        <f>446.3/Z118</f>
        <v>105.25943396226415</v>
      </c>
      <c r="AA72" s="250">
        <f>447.5/AA118</f>
        <v>106.42092746730083</v>
      </c>
      <c r="AB72" s="220"/>
      <c r="AC72" s="235"/>
      <c r="AL72" s="912" t="s">
        <v>103</v>
      </c>
      <c r="AM72" s="912"/>
      <c r="AN72" s="912"/>
      <c r="AP72" s="912" t="s">
        <v>102</v>
      </c>
      <c r="AQ72" s="912"/>
      <c r="AR72" s="912"/>
      <c r="AT72" s="912" t="s">
        <v>104</v>
      </c>
      <c r="AU72" s="912"/>
      <c r="AV72" s="912"/>
    </row>
    <row r="73" spans="1:48" ht="18" customHeight="1" thickBot="1" x14ac:dyDescent="0.3">
      <c r="A73" s="220"/>
      <c r="B73" s="207">
        <v>12</v>
      </c>
      <c r="C73" s="208">
        <v>2012</v>
      </c>
      <c r="D73" s="256">
        <v>100</v>
      </c>
      <c r="E73" s="257">
        <v>100</v>
      </c>
      <c r="F73" s="258">
        <v>100</v>
      </c>
      <c r="G73" s="259">
        <v>100</v>
      </c>
      <c r="H73" s="256">
        <v>100</v>
      </c>
      <c r="I73" s="260">
        <v>100</v>
      </c>
      <c r="J73" s="261">
        <v>100</v>
      </c>
      <c r="K73" s="258">
        <v>100</v>
      </c>
      <c r="L73" s="256">
        <v>100</v>
      </c>
      <c r="M73" s="260">
        <v>100</v>
      </c>
      <c r="N73" s="262">
        <v>100</v>
      </c>
      <c r="O73" s="263">
        <v>100</v>
      </c>
      <c r="P73" s="256">
        <v>100</v>
      </c>
      <c r="Q73" s="263">
        <v>100</v>
      </c>
      <c r="R73" s="223"/>
      <c r="S73" s="345">
        <f>228.2/S118</f>
        <v>100.44014084507043</v>
      </c>
      <c r="T73" s="346">
        <f>289/T118</f>
        <v>100</v>
      </c>
      <c r="U73" s="347">
        <f>329.3/U118</f>
        <v>102.26708074534162</v>
      </c>
      <c r="V73" s="348">
        <f>435.9/V118</f>
        <v>105.06146059291395</v>
      </c>
      <c r="W73" s="349">
        <f>193.7/W118</f>
        <v>101.46673651126244</v>
      </c>
      <c r="X73" s="346">
        <f>225.3/X118</f>
        <v>102.59562841530054</v>
      </c>
      <c r="Y73" s="350">
        <f>202.6/Y118</f>
        <v>101.70682730923694</v>
      </c>
      <c r="Z73" s="351">
        <f>444.4/Z118</f>
        <v>104.81132075471697</v>
      </c>
      <c r="AA73" s="352">
        <f>445.5/AA118</f>
        <v>105.94530321046373</v>
      </c>
      <c r="AB73" s="220"/>
      <c r="AC73" s="353" t="s">
        <v>96</v>
      </c>
      <c r="AL73" s="179" t="s">
        <v>72</v>
      </c>
      <c r="AM73" s="179" t="s">
        <v>100</v>
      </c>
      <c r="AN73" s="179" t="s">
        <v>101</v>
      </c>
      <c r="AP73" s="179" t="s">
        <v>72</v>
      </c>
      <c r="AQ73" s="179" t="s">
        <v>100</v>
      </c>
      <c r="AR73" s="179" t="s">
        <v>101</v>
      </c>
      <c r="AT73" s="179" t="s">
        <v>72</v>
      </c>
      <c r="AU73" s="179" t="s">
        <v>100</v>
      </c>
      <c r="AV73" s="179" t="s">
        <v>101</v>
      </c>
    </row>
    <row r="74" spans="1:48" ht="18" customHeight="1" thickTop="1" x14ac:dyDescent="0.25">
      <c r="A74" s="220"/>
      <c r="B74" s="203">
        <v>1</v>
      </c>
      <c r="C74" s="204">
        <v>2013</v>
      </c>
      <c r="D74" s="264">
        <v>100.2</v>
      </c>
      <c r="E74" s="265">
        <v>100.1</v>
      </c>
      <c r="F74" s="266">
        <v>100.3</v>
      </c>
      <c r="G74" s="267">
        <v>100.5</v>
      </c>
      <c r="H74" s="264">
        <v>100.4</v>
      </c>
      <c r="I74" s="268">
        <v>100.1</v>
      </c>
      <c r="J74" s="269">
        <v>100.5</v>
      </c>
      <c r="K74" s="266">
        <v>100.1</v>
      </c>
      <c r="L74" s="264">
        <v>100.2</v>
      </c>
      <c r="M74" s="268">
        <v>100.3</v>
      </c>
      <c r="N74" s="270">
        <v>100.4</v>
      </c>
      <c r="O74" s="271">
        <v>100.4</v>
      </c>
      <c r="P74" s="264">
        <v>100.4</v>
      </c>
      <c r="Q74" s="271">
        <v>100.5</v>
      </c>
      <c r="R74" s="223"/>
      <c r="S74" s="340">
        <v>101.8</v>
      </c>
      <c r="T74" s="341">
        <v>103.2</v>
      </c>
      <c r="U74" s="342">
        <v>104.4</v>
      </c>
      <c r="V74" s="275">
        <v>103</v>
      </c>
      <c r="W74" s="343">
        <v>102.3</v>
      </c>
      <c r="X74" s="341">
        <v>103.1</v>
      </c>
      <c r="Y74" s="342">
        <v>102.4</v>
      </c>
      <c r="Z74" s="344">
        <v>102.2</v>
      </c>
      <c r="AA74" s="242">
        <v>103.4</v>
      </c>
      <c r="AB74" s="220"/>
      <c r="AC74" s="235" t="s">
        <v>95</v>
      </c>
      <c r="AE74" s="355"/>
      <c r="AF74" s="356"/>
      <c r="AH74" s="356"/>
      <c r="AJ74" s="356"/>
      <c r="AL74" s="357"/>
      <c r="AM74" s="356"/>
      <c r="AN74" s="356"/>
      <c r="AP74" s="357"/>
      <c r="AQ74" s="356"/>
      <c r="AR74" s="356"/>
      <c r="AT74" s="357"/>
      <c r="AU74" s="356"/>
      <c r="AV74" s="356"/>
    </row>
    <row r="75" spans="1:48" ht="18" customHeight="1" x14ac:dyDescent="0.25">
      <c r="A75" s="220"/>
      <c r="B75" s="205">
        <v>2</v>
      </c>
      <c r="C75" s="206">
        <v>2013</v>
      </c>
      <c r="D75" s="248">
        <v>100.8</v>
      </c>
      <c r="E75" s="249">
        <v>101.2</v>
      </c>
      <c r="F75" s="250">
        <v>101.3</v>
      </c>
      <c r="G75" s="251">
        <v>100.9</v>
      </c>
      <c r="H75" s="248">
        <v>101.2</v>
      </c>
      <c r="I75" s="252">
        <v>101.2</v>
      </c>
      <c r="J75" s="253">
        <v>102</v>
      </c>
      <c r="K75" s="250">
        <v>101.3</v>
      </c>
      <c r="L75" s="248">
        <v>101.2</v>
      </c>
      <c r="M75" s="252">
        <v>101.7</v>
      </c>
      <c r="N75" s="254">
        <v>101.8</v>
      </c>
      <c r="O75" s="255">
        <v>101.5</v>
      </c>
      <c r="P75" s="248">
        <v>101.4</v>
      </c>
      <c r="Q75" s="255">
        <v>101.3</v>
      </c>
      <c r="R75" s="223"/>
      <c r="S75" s="306">
        <v>102.2</v>
      </c>
      <c r="T75" s="307">
        <v>104.8</v>
      </c>
      <c r="U75" s="308">
        <v>105.1</v>
      </c>
      <c r="V75" s="284">
        <v>104.3</v>
      </c>
      <c r="W75" s="309">
        <v>102.5</v>
      </c>
      <c r="X75" s="307">
        <v>103.1</v>
      </c>
      <c r="Y75" s="308">
        <v>102.4</v>
      </c>
      <c r="Z75" s="311">
        <v>103.9</v>
      </c>
      <c r="AA75" s="250">
        <v>105</v>
      </c>
      <c r="AB75" s="220"/>
      <c r="AC75" s="235"/>
      <c r="AE75" s="355"/>
      <c r="AF75" s="356"/>
      <c r="AH75" s="356"/>
      <c r="AJ75" s="356"/>
      <c r="AL75" s="357"/>
      <c r="AM75" s="356"/>
      <c r="AN75" s="356"/>
      <c r="AP75" s="357"/>
      <c r="AQ75" s="356"/>
      <c r="AR75" s="356"/>
      <c r="AT75" s="357"/>
      <c r="AU75" s="356"/>
      <c r="AV75" s="356"/>
    </row>
    <row r="76" spans="1:48" ht="18" customHeight="1" x14ac:dyDescent="0.25">
      <c r="A76" s="220"/>
      <c r="B76" s="205">
        <v>3</v>
      </c>
      <c r="C76" s="206">
        <v>2013</v>
      </c>
      <c r="D76" s="248">
        <v>102.2</v>
      </c>
      <c r="E76" s="249">
        <v>102</v>
      </c>
      <c r="F76" s="250">
        <v>102.4</v>
      </c>
      <c r="G76" s="251">
        <v>101.8</v>
      </c>
      <c r="H76" s="248">
        <v>102.4</v>
      </c>
      <c r="I76" s="252">
        <v>102.8</v>
      </c>
      <c r="J76" s="253">
        <v>102.9</v>
      </c>
      <c r="K76" s="250">
        <v>102.6</v>
      </c>
      <c r="L76" s="248">
        <v>102.4</v>
      </c>
      <c r="M76" s="252">
        <v>103.2</v>
      </c>
      <c r="N76" s="254">
        <v>103</v>
      </c>
      <c r="O76" s="255">
        <v>102.6</v>
      </c>
      <c r="P76" s="248">
        <v>102.1</v>
      </c>
      <c r="Q76" s="255">
        <v>102.8</v>
      </c>
      <c r="R76" s="223"/>
      <c r="S76" s="306">
        <v>103.1</v>
      </c>
      <c r="T76" s="307">
        <v>104.5</v>
      </c>
      <c r="U76" s="308">
        <v>104.9</v>
      </c>
      <c r="V76" s="284">
        <v>108.6</v>
      </c>
      <c r="W76" s="309">
        <v>103.6</v>
      </c>
      <c r="X76" s="307">
        <v>103.5</v>
      </c>
      <c r="Y76" s="308">
        <v>103.6</v>
      </c>
      <c r="Z76" s="311">
        <v>109.3</v>
      </c>
      <c r="AA76" s="250">
        <v>110.6</v>
      </c>
      <c r="AB76" s="220"/>
      <c r="AC76" s="235"/>
      <c r="AE76" s="355"/>
      <c r="AF76" s="356"/>
      <c r="AH76" s="356"/>
      <c r="AJ76" s="356"/>
      <c r="AL76" s="357"/>
      <c r="AM76" s="356"/>
      <c r="AN76" s="356"/>
      <c r="AP76" s="357"/>
      <c r="AQ76" s="356"/>
      <c r="AR76" s="356"/>
      <c r="AT76" s="357"/>
      <c r="AU76" s="356"/>
      <c r="AV76" s="356"/>
    </row>
    <row r="77" spans="1:48" ht="18" customHeight="1" x14ac:dyDescent="0.25">
      <c r="A77" s="220"/>
      <c r="B77" s="205">
        <v>4</v>
      </c>
      <c r="C77" s="206">
        <v>2013</v>
      </c>
      <c r="D77" s="248">
        <v>102.5</v>
      </c>
      <c r="E77" s="249">
        <v>102.2</v>
      </c>
      <c r="F77" s="250">
        <v>102.8</v>
      </c>
      <c r="G77" s="251">
        <v>102.1</v>
      </c>
      <c r="H77" s="248">
        <v>102.7</v>
      </c>
      <c r="I77" s="252">
        <v>102.9</v>
      </c>
      <c r="J77" s="253">
        <v>103</v>
      </c>
      <c r="K77" s="250">
        <v>102.9</v>
      </c>
      <c r="L77" s="248">
        <v>102.6</v>
      </c>
      <c r="M77" s="252">
        <v>103.6</v>
      </c>
      <c r="N77" s="254">
        <v>103.3</v>
      </c>
      <c r="O77" s="255">
        <v>102.9</v>
      </c>
      <c r="P77" s="248">
        <v>102.3</v>
      </c>
      <c r="Q77" s="255">
        <v>103</v>
      </c>
      <c r="R77" s="223"/>
      <c r="S77" s="306">
        <v>103.9</v>
      </c>
      <c r="T77" s="307">
        <v>106.3</v>
      </c>
      <c r="U77" s="308">
        <v>105.6</v>
      </c>
      <c r="V77" s="284">
        <v>104.7</v>
      </c>
      <c r="W77" s="309">
        <v>103.7</v>
      </c>
      <c r="X77" s="307">
        <v>103.6</v>
      </c>
      <c r="Y77" s="308">
        <v>103.6</v>
      </c>
      <c r="Z77" s="311">
        <v>104.3</v>
      </c>
      <c r="AA77" s="250">
        <v>105.3</v>
      </c>
      <c r="AB77" s="220"/>
      <c r="AC77" s="235"/>
      <c r="AE77" s="355"/>
      <c r="AF77" s="356"/>
      <c r="AH77" s="356"/>
      <c r="AJ77" s="356"/>
      <c r="AL77" s="357"/>
      <c r="AM77" s="356"/>
      <c r="AN77" s="356"/>
      <c r="AP77" s="357"/>
      <c r="AQ77" s="356"/>
      <c r="AR77" s="356"/>
      <c r="AT77" s="357"/>
      <c r="AU77" s="356"/>
      <c r="AV77" s="356"/>
    </row>
    <row r="78" spans="1:48" ht="18" customHeight="1" x14ac:dyDescent="0.25">
      <c r="A78" s="220"/>
      <c r="B78" s="205">
        <v>5</v>
      </c>
      <c r="C78" s="206">
        <v>2013</v>
      </c>
      <c r="D78" s="248">
        <v>102.2</v>
      </c>
      <c r="E78" s="249">
        <v>102.1</v>
      </c>
      <c r="F78" s="250">
        <v>102.5</v>
      </c>
      <c r="G78" s="251">
        <v>101.8</v>
      </c>
      <c r="H78" s="248">
        <v>102.6</v>
      </c>
      <c r="I78" s="252">
        <v>102.5</v>
      </c>
      <c r="J78" s="253">
        <v>102.5</v>
      </c>
      <c r="K78" s="250">
        <v>102.5</v>
      </c>
      <c r="L78" s="248">
        <v>102.5</v>
      </c>
      <c r="M78" s="252">
        <v>103.3</v>
      </c>
      <c r="N78" s="254">
        <v>102.9</v>
      </c>
      <c r="O78" s="255">
        <v>102.5</v>
      </c>
      <c r="P78" s="248">
        <v>102.1</v>
      </c>
      <c r="Q78" s="255">
        <v>103</v>
      </c>
      <c r="R78" s="223"/>
      <c r="S78" s="306">
        <v>104.2</v>
      </c>
      <c r="T78" s="307">
        <v>107.2</v>
      </c>
      <c r="U78" s="308">
        <v>107.1</v>
      </c>
      <c r="V78" s="284">
        <v>101.5</v>
      </c>
      <c r="W78" s="309">
        <v>104.5</v>
      </c>
      <c r="X78" s="307">
        <v>104.2</v>
      </c>
      <c r="Y78" s="308">
        <v>103.9</v>
      </c>
      <c r="Z78" s="311">
        <v>103.9</v>
      </c>
      <c r="AA78" s="250">
        <v>104.9</v>
      </c>
      <c r="AB78" s="220"/>
      <c r="AC78" s="235"/>
      <c r="AE78" s="355"/>
      <c r="AF78" s="356"/>
      <c r="AH78" s="356"/>
      <c r="AJ78" s="356"/>
      <c r="AL78" s="357"/>
      <c r="AM78" s="356"/>
      <c r="AN78" s="356"/>
      <c r="AP78" s="357"/>
      <c r="AQ78" s="356"/>
      <c r="AR78" s="356"/>
      <c r="AT78" s="357"/>
      <c r="AU78" s="356"/>
      <c r="AV78" s="356"/>
    </row>
    <row r="79" spans="1:48" ht="18" customHeight="1" x14ac:dyDescent="0.25">
      <c r="A79" s="220"/>
      <c r="B79" s="205">
        <v>6</v>
      </c>
      <c r="C79" s="206">
        <v>2013</v>
      </c>
      <c r="D79" s="248">
        <v>102.5</v>
      </c>
      <c r="E79" s="249">
        <v>102.5</v>
      </c>
      <c r="F79" s="250">
        <v>102.9</v>
      </c>
      <c r="G79" s="251">
        <v>101.9</v>
      </c>
      <c r="H79" s="248">
        <v>103.3</v>
      </c>
      <c r="I79" s="252">
        <v>102.9</v>
      </c>
      <c r="J79" s="253">
        <v>102.7</v>
      </c>
      <c r="K79" s="250">
        <v>102.8</v>
      </c>
      <c r="L79" s="248">
        <v>102.7</v>
      </c>
      <c r="M79" s="252">
        <v>103.8</v>
      </c>
      <c r="N79" s="254">
        <v>103.4</v>
      </c>
      <c r="O79" s="255">
        <v>102.9</v>
      </c>
      <c r="P79" s="248">
        <v>102.3</v>
      </c>
      <c r="Q79" s="255">
        <v>103.4</v>
      </c>
      <c r="R79" s="223"/>
      <c r="S79" s="306">
        <v>104.9</v>
      </c>
      <c r="T79" s="307">
        <v>107.3</v>
      </c>
      <c r="U79" s="308">
        <v>108.3</v>
      </c>
      <c r="V79" s="284">
        <v>103.2</v>
      </c>
      <c r="W79" s="309">
        <v>105.4</v>
      </c>
      <c r="X79" s="307">
        <v>104.6</v>
      </c>
      <c r="Y79" s="308">
        <v>104.7</v>
      </c>
      <c r="Z79" s="311">
        <v>111</v>
      </c>
      <c r="AA79" s="250">
        <v>112.4</v>
      </c>
      <c r="AB79" s="220"/>
      <c r="AC79" s="235"/>
      <c r="AE79" s="355"/>
      <c r="AF79" s="356"/>
      <c r="AH79" s="356"/>
      <c r="AJ79" s="356"/>
      <c r="AL79" s="357"/>
      <c r="AM79" s="356"/>
      <c r="AN79" s="356"/>
      <c r="AP79" s="357"/>
      <c r="AQ79" s="356"/>
      <c r="AR79" s="356"/>
      <c r="AT79" s="357"/>
      <c r="AU79" s="356"/>
      <c r="AV79" s="356"/>
    </row>
    <row r="80" spans="1:48" ht="18" customHeight="1" x14ac:dyDescent="0.25">
      <c r="A80" s="220"/>
      <c r="B80" s="205">
        <v>7</v>
      </c>
      <c r="C80" s="206">
        <v>2013</v>
      </c>
      <c r="D80" s="248">
        <v>103.4</v>
      </c>
      <c r="E80" s="249">
        <v>103.4</v>
      </c>
      <c r="F80" s="250">
        <v>104.9</v>
      </c>
      <c r="G80" s="251">
        <v>103.3</v>
      </c>
      <c r="H80" s="248">
        <v>104.3</v>
      </c>
      <c r="I80" s="252">
        <v>104.2</v>
      </c>
      <c r="J80" s="253">
        <v>104</v>
      </c>
      <c r="K80" s="250">
        <v>104.1</v>
      </c>
      <c r="L80" s="248">
        <v>103.8</v>
      </c>
      <c r="M80" s="252">
        <v>105</v>
      </c>
      <c r="N80" s="254">
        <v>104.3</v>
      </c>
      <c r="O80" s="255">
        <v>104</v>
      </c>
      <c r="P80" s="248">
        <v>103.2</v>
      </c>
      <c r="Q80" s="255">
        <v>104.3</v>
      </c>
      <c r="R80" s="223"/>
      <c r="S80" s="306">
        <v>105.4</v>
      </c>
      <c r="T80" s="307">
        <v>107.3</v>
      </c>
      <c r="U80" s="308">
        <v>109.4</v>
      </c>
      <c r="V80" s="284">
        <v>106.4</v>
      </c>
      <c r="W80" s="309">
        <v>107.1</v>
      </c>
      <c r="X80" s="307">
        <v>106.9</v>
      </c>
      <c r="Y80" s="308">
        <v>106.1</v>
      </c>
      <c r="Z80" s="311">
        <v>114.1</v>
      </c>
      <c r="AA80" s="250">
        <v>115.5</v>
      </c>
      <c r="AB80" s="220"/>
      <c r="AC80" s="235"/>
      <c r="AE80" s="355"/>
      <c r="AF80" s="356"/>
      <c r="AH80" s="356"/>
      <c r="AJ80" s="356"/>
      <c r="AL80" s="357"/>
      <c r="AM80" s="356"/>
      <c r="AN80" s="356"/>
      <c r="AP80" s="357"/>
      <c r="AQ80" s="356"/>
      <c r="AR80" s="356"/>
      <c r="AT80" s="357"/>
      <c r="AU80" s="356"/>
      <c r="AV80" s="356"/>
    </row>
    <row r="81" spans="1:48" ht="18" customHeight="1" x14ac:dyDescent="0.25">
      <c r="A81" s="220"/>
      <c r="B81" s="205">
        <v>8</v>
      </c>
      <c r="C81" s="206">
        <v>2013</v>
      </c>
      <c r="D81" s="248">
        <v>103.7</v>
      </c>
      <c r="E81" s="249">
        <v>103.7</v>
      </c>
      <c r="F81" s="250">
        <v>105</v>
      </c>
      <c r="G81" s="251">
        <v>103.7</v>
      </c>
      <c r="H81" s="248">
        <v>104.6</v>
      </c>
      <c r="I81" s="252">
        <v>104.6</v>
      </c>
      <c r="J81" s="253">
        <v>104.4</v>
      </c>
      <c r="K81" s="250">
        <v>104.5</v>
      </c>
      <c r="L81" s="248">
        <v>104.1</v>
      </c>
      <c r="M81" s="252">
        <v>105.2</v>
      </c>
      <c r="N81" s="254">
        <v>104.6</v>
      </c>
      <c r="O81" s="255">
        <v>104.3</v>
      </c>
      <c r="P81" s="248">
        <v>103.4</v>
      </c>
      <c r="Q81" s="255">
        <v>104.7</v>
      </c>
      <c r="R81" s="223"/>
      <c r="S81" s="306">
        <v>105.6</v>
      </c>
      <c r="T81" s="307">
        <v>107.1</v>
      </c>
      <c r="U81" s="308">
        <v>109.1</v>
      </c>
      <c r="V81" s="284">
        <v>109.8</v>
      </c>
      <c r="W81" s="309">
        <v>108.1</v>
      </c>
      <c r="X81" s="307">
        <v>107.4</v>
      </c>
      <c r="Y81" s="308">
        <v>106.6</v>
      </c>
      <c r="Z81" s="311">
        <v>115.3</v>
      </c>
      <c r="AA81" s="250">
        <v>116.7</v>
      </c>
      <c r="AB81" s="220"/>
      <c r="AC81" s="235"/>
      <c r="AE81" s="355"/>
      <c r="AF81" s="356"/>
      <c r="AH81" s="356"/>
      <c r="AJ81" s="356"/>
      <c r="AL81" s="357"/>
      <c r="AM81" s="356"/>
      <c r="AN81" s="356"/>
      <c r="AP81" s="357"/>
      <c r="AQ81" s="356"/>
      <c r="AR81" s="356"/>
      <c r="AT81" s="357"/>
      <c r="AU81" s="356"/>
      <c r="AV81" s="356"/>
    </row>
    <row r="82" spans="1:48" ht="18" customHeight="1" x14ac:dyDescent="0.25">
      <c r="A82" s="220"/>
      <c r="B82" s="205">
        <v>9</v>
      </c>
      <c r="C82" s="206">
        <v>2013</v>
      </c>
      <c r="D82" s="248">
        <v>104.6</v>
      </c>
      <c r="E82" s="249">
        <v>104.1</v>
      </c>
      <c r="F82" s="250">
        <v>105.6</v>
      </c>
      <c r="G82" s="251">
        <v>104.3</v>
      </c>
      <c r="H82" s="248">
        <v>105.3</v>
      </c>
      <c r="I82" s="252">
        <v>105</v>
      </c>
      <c r="J82" s="253">
        <v>105.1</v>
      </c>
      <c r="K82" s="250">
        <v>104.8</v>
      </c>
      <c r="L82" s="248">
        <v>104.6</v>
      </c>
      <c r="M82" s="252">
        <v>105.7</v>
      </c>
      <c r="N82" s="254">
        <v>104.8</v>
      </c>
      <c r="O82" s="255">
        <v>104.9</v>
      </c>
      <c r="P82" s="248">
        <v>104</v>
      </c>
      <c r="Q82" s="255">
        <v>105.3</v>
      </c>
      <c r="R82" s="223"/>
      <c r="S82" s="306">
        <v>105.1</v>
      </c>
      <c r="T82" s="307">
        <v>107.1</v>
      </c>
      <c r="U82" s="308">
        <v>108.4</v>
      </c>
      <c r="V82" s="284">
        <v>111.5</v>
      </c>
      <c r="W82" s="309">
        <v>108.6</v>
      </c>
      <c r="X82" s="307">
        <v>107.6</v>
      </c>
      <c r="Y82" s="308">
        <v>107</v>
      </c>
      <c r="Z82" s="311">
        <v>115.2</v>
      </c>
      <c r="AA82" s="250">
        <v>116.6</v>
      </c>
      <c r="AB82" s="220"/>
      <c r="AC82" s="235"/>
      <c r="AE82" s="355"/>
      <c r="AF82" s="356"/>
      <c r="AH82" s="356"/>
      <c r="AJ82" s="356"/>
      <c r="AL82" s="357"/>
      <c r="AM82" s="356"/>
      <c r="AN82" s="356"/>
      <c r="AP82" s="357"/>
      <c r="AQ82" s="356"/>
      <c r="AR82" s="356"/>
      <c r="AT82" s="357"/>
      <c r="AU82" s="356"/>
      <c r="AV82" s="356"/>
    </row>
    <row r="83" spans="1:48" ht="18" customHeight="1" x14ac:dyDescent="0.25">
      <c r="A83" s="220"/>
      <c r="B83" s="205">
        <v>10</v>
      </c>
      <c r="C83" s="206">
        <v>2013</v>
      </c>
      <c r="D83" s="248">
        <v>104.9</v>
      </c>
      <c r="E83" s="249">
        <v>104.3</v>
      </c>
      <c r="F83" s="250">
        <v>105.7</v>
      </c>
      <c r="G83" s="251">
        <v>104.5</v>
      </c>
      <c r="H83" s="248">
        <v>105.7</v>
      </c>
      <c r="I83" s="252">
        <v>105</v>
      </c>
      <c r="J83" s="253">
        <v>105.3</v>
      </c>
      <c r="K83" s="250">
        <v>104.9</v>
      </c>
      <c r="L83" s="248">
        <v>105</v>
      </c>
      <c r="M83" s="252">
        <v>105.9</v>
      </c>
      <c r="N83" s="254">
        <v>105.1</v>
      </c>
      <c r="O83" s="255">
        <v>105</v>
      </c>
      <c r="P83" s="248">
        <v>104.2</v>
      </c>
      <c r="Q83" s="255">
        <v>105.4</v>
      </c>
      <c r="R83" s="223"/>
      <c r="S83" s="306">
        <v>105.2</v>
      </c>
      <c r="T83" s="307">
        <v>107.2</v>
      </c>
      <c r="U83" s="308">
        <v>108.5</v>
      </c>
      <c r="V83" s="284">
        <v>110.7</v>
      </c>
      <c r="W83" s="309">
        <v>109.5</v>
      </c>
      <c r="X83" s="307">
        <v>108.2</v>
      </c>
      <c r="Y83" s="308">
        <v>107.6</v>
      </c>
      <c r="Z83" s="311">
        <v>113.8</v>
      </c>
      <c r="AA83" s="250">
        <v>115.1</v>
      </c>
      <c r="AB83" s="220"/>
      <c r="AC83" s="235"/>
      <c r="AE83" s="355"/>
      <c r="AF83" s="356"/>
      <c r="AH83" s="356"/>
      <c r="AJ83" s="356"/>
      <c r="AL83" s="357"/>
      <c r="AM83" s="356"/>
      <c r="AN83" s="356"/>
      <c r="AP83" s="357"/>
      <c r="AQ83" s="356"/>
      <c r="AR83" s="356"/>
      <c r="AT83" s="357"/>
      <c r="AU83" s="356"/>
      <c r="AV83" s="356"/>
    </row>
    <row r="84" spans="1:48" ht="18" customHeight="1" x14ac:dyDescent="0.25">
      <c r="A84" s="220"/>
      <c r="B84" s="205">
        <v>11</v>
      </c>
      <c r="C84" s="206">
        <v>2013</v>
      </c>
      <c r="D84" s="248">
        <v>104.9</v>
      </c>
      <c r="E84" s="249">
        <v>104.5</v>
      </c>
      <c r="F84" s="250">
        <v>105.7</v>
      </c>
      <c r="G84" s="251">
        <v>104.8</v>
      </c>
      <c r="H84" s="248">
        <v>105.9</v>
      </c>
      <c r="I84" s="252">
        <v>104.9</v>
      </c>
      <c r="J84" s="253">
        <v>105.6</v>
      </c>
      <c r="K84" s="250">
        <v>104.9</v>
      </c>
      <c r="L84" s="248">
        <v>104.9</v>
      </c>
      <c r="M84" s="252">
        <v>105.8</v>
      </c>
      <c r="N84" s="254">
        <v>105</v>
      </c>
      <c r="O84" s="255">
        <v>105.1</v>
      </c>
      <c r="P84" s="248">
        <v>104.2</v>
      </c>
      <c r="Q84" s="255">
        <v>105.6</v>
      </c>
      <c r="R84" s="223"/>
      <c r="S84" s="306">
        <v>105.1</v>
      </c>
      <c r="T84" s="307">
        <v>107.1</v>
      </c>
      <c r="U84" s="308">
        <v>107.8</v>
      </c>
      <c r="V84" s="284">
        <v>110.4</v>
      </c>
      <c r="W84" s="309">
        <v>109.9</v>
      </c>
      <c r="X84" s="307">
        <v>108.6</v>
      </c>
      <c r="Y84" s="308">
        <v>108.1</v>
      </c>
      <c r="Z84" s="311">
        <v>114.7</v>
      </c>
      <c r="AA84" s="250">
        <v>116.1</v>
      </c>
      <c r="AB84" s="220"/>
      <c r="AC84" s="235"/>
      <c r="AE84" s="355"/>
      <c r="AF84" s="356"/>
      <c r="AH84" s="356"/>
      <c r="AJ84" s="356"/>
      <c r="AL84" s="357"/>
      <c r="AM84" s="356"/>
      <c r="AN84" s="356"/>
      <c r="AP84" s="357"/>
      <c r="AQ84" s="356"/>
      <c r="AR84" s="356"/>
      <c r="AT84" s="357"/>
      <c r="AU84" s="356"/>
      <c r="AV84" s="356"/>
    </row>
    <row r="85" spans="1:48" ht="18" customHeight="1" x14ac:dyDescent="0.25">
      <c r="A85" s="220"/>
      <c r="B85" s="207">
        <v>12</v>
      </c>
      <c r="C85" s="208">
        <v>2013</v>
      </c>
      <c r="D85" s="256">
        <v>105</v>
      </c>
      <c r="E85" s="257">
        <v>104.9</v>
      </c>
      <c r="F85" s="258">
        <v>106.2</v>
      </c>
      <c r="G85" s="259">
        <v>105.2</v>
      </c>
      <c r="H85" s="256">
        <v>106.2</v>
      </c>
      <c r="I85" s="260">
        <v>105.2</v>
      </c>
      <c r="J85" s="261">
        <v>105.9</v>
      </c>
      <c r="K85" s="258">
        <v>105.3</v>
      </c>
      <c r="L85" s="256">
        <v>105.5</v>
      </c>
      <c r="M85" s="260">
        <v>106.3</v>
      </c>
      <c r="N85" s="262">
        <v>105.5</v>
      </c>
      <c r="O85" s="263">
        <v>105.3</v>
      </c>
      <c r="P85" s="256">
        <v>104.5</v>
      </c>
      <c r="Q85" s="263">
        <v>105.9</v>
      </c>
      <c r="R85" s="223"/>
      <c r="S85" s="312">
        <v>105.1</v>
      </c>
      <c r="T85" s="313">
        <v>107</v>
      </c>
      <c r="U85" s="314">
        <v>108</v>
      </c>
      <c r="V85" s="294">
        <v>112.7</v>
      </c>
      <c r="W85" s="315">
        <v>110.1</v>
      </c>
      <c r="X85" s="313">
        <v>108.7</v>
      </c>
      <c r="Y85" s="314">
        <v>108.4</v>
      </c>
      <c r="Z85" s="317">
        <v>114.7</v>
      </c>
      <c r="AA85" s="258">
        <v>116.1</v>
      </c>
      <c r="AB85" s="220"/>
      <c r="AC85" s="235"/>
      <c r="AE85" s="355"/>
      <c r="AF85" s="356"/>
      <c r="AH85" s="356"/>
      <c r="AJ85" s="356"/>
      <c r="AL85" s="357"/>
      <c r="AM85" s="356"/>
      <c r="AN85" s="356"/>
      <c r="AP85" s="357"/>
      <c r="AQ85" s="356"/>
      <c r="AR85" s="356"/>
      <c r="AT85" s="357"/>
      <c r="AU85" s="356"/>
      <c r="AV85" s="356"/>
    </row>
    <row r="86" spans="1:48" ht="18" customHeight="1" x14ac:dyDescent="0.25">
      <c r="A86" s="220"/>
      <c r="B86" s="203">
        <v>1</v>
      </c>
      <c r="C86" s="204">
        <v>2014</v>
      </c>
      <c r="D86" s="264">
        <v>105.9</v>
      </c>
      <c r="E86" s="265">
        <v>105.4</v>
      </c>
      <c r="F86" s="266">
        <v>106.6</v>
      </c>
      <c r="G86" s="267">
        <v>105.9</v>
      </c>
      <c r="H86" s="264">
        <v>106.8</v>
      </c>
      <c r="I86" s="268">
        <v>105.9</v>
      </c>
      <c r="J86" s="269">
        <v>106.6</v>
      </c>
      <c r="K86" s="266">
        <v>106</v>
      </c>
      <c r="L86" s="264">
        <v>106.2</v>
      </c>
      <c r="M86" s="268">
        <v>107</v>
      </c>
      <c r="N86" s="270">
        <v>106.2</v>
      </c>
      <c r="O86" s="271">
        <v>106</v>
      </c>
      <c r="P86" s="264">
        <v>105.2</v>
      </c>
      <c r="Q86" s="271">
        <v>106.9</v>
      </c>
      <c r="R86" s="223"/>
      <c r="S86" s="299">
        <v>105.9</v>
      </c>
      <c r="T86" s="300">
        <v>108.1</v>
      </c>
      <c r="U86" s="301">
        <v>109.1</v>
      </c>
      <c r="V86" s="302">
        <v>116</v>
      </c>
      <c r="W86" s="303">
        <v>110.7</v>
      </c>
      <c r="X86" s="300">
        <v>108.8</v>
      </c>
      <c r="Y86" s="301">
        <v>108.4</v>
      </c>
      <c r="Z86" s="305">
        <v>117.6</v>
      </c>
      <c r="AA86" s="266">
        <v>119.1</v>
      </c>
      <c r="AB86" s="220"/>
      <c r="AC86" s="235"/>
      <c r="AE86" s="355"/>
      <c r="AF86" s="356"/>
      <c r="AH86" s="356"/>
      <c r="AJ86" s="356"/>
      <c r="AL86" s="357"/>
      <c r="AM86" s="356"/>
      <c r="AN86" s="356"/>
      <c r="AP86" s="357"/>
      <c r="AQ86" s="356"/>
      <c r="AR86" s="356"/>
      <c r="AT86" s="357"/>
      <c r="AU86" s="356"/>
      <c r="AV86" s="356"/>
    </row>
    <row r="87" spans="1:48" ht="18" customHeight="1" x14ac:dyDescent="0.25">
      <c r="A87" s="220"/>
      <c r="B87" s="205">
        <v>2</v>
      </c>
      <c r="C87" s="206">
        <v>2014</v>
      </c>
      <c r="D87" s="248">
        <v>106.7</v>
      </c>
      <c r="E87" s="249">
        <v>106.6</v>
      </c>
      <c r="F87" s="250">
        <v>108.2</v>
      </c>
      <c r="G87" s="251">
        <v>106.7</v>
      </c>
      <c r="H87" s="248">
        <v>107.8</v>
      </c>
      <c r="I87" s="252">
        <v>107</v>
      </c>
      <c r="J87" s="253">
        <v>108.2</v>
      </c>
      <c r="K87" s="250">
        <v>107.2</v>
      </c>
      <c r="L87" s="248">
        <v>107.3</v>
      </c>
      <c r="M87" s="252">
        <v>108.4</v>
      </c>
      <c r="N87" s="254">
        <v>107.7</v>
      </c>
      <c r="O87" s="255">
        <v>107.4</v>
      </c>
      <c r="P87" s="248">
        <v>106.3</v>
      </c>
      <c r="Q87" s="255">
        <v>107.8</v>
      </c>
      <c r="R87" s="223"/>
      <c r="S87" s="306">
        <v>106</v>
      </c>
      <c r="T87" s="307">
        <v>111.3</v>
      </c>
      <c r="U87" s="308">
        <v>112.8</v>
      </c>
      <c r="V87" s="284">
        <v>119.1</v>
      </c>
      <c r="W87" s="309">
        <v>112.3</v>
      </c>
      <c r="X87" s="307">
        <v>115.8</v>
      </c>
      <c r="Y87" s="308">
        <v>109</v>
      </c>
      <c r="Z87" s="311">
        <v>120.1</v>
      </c>
      <c r="AA87" s="250">
        <v>121.7</v>
      </c>
      <c r="AB87" s="220"/>
      <c r="AC87" s="235"/>
      <c r="AE87" s="355"/>
      <c r="AF87" s="356"/>
      <c r="AH87" s="356"/>
      <c r="AJ87" s="356"/>
      <c r="AL87" s="357"/>
      <c r="AM87" s="356"/>
      <c r="AN87" s="356"/>
      <c r="AP87" s="357"/>
      <c r="AQ87" s="356"/>
      <c r="AR87" s="356"/>
      <c r="AT87" s="357"/>
      <c r="AU87" s="356"/>
      <c r="AV87" s="356"/>
    </row>
    <row r="88" spans="1:48" ht="18" customHeight="1" x14ac:dyDescent="0.25">
      <c r="A88" s="220"/>
      <c r="B88" s="205">
        <v>3</v>
      </c>
      <c r="C88" s="206">
        <v>2014</v>
      </c>
      <c r="D88" s="248">
        <v>108.2</v>
      </c>
      <c r="E88" s="249">
        <v>108.1</v>
      </c>
      <c r="F88" s="250">
        <v>109.3</v>
      </c>
      <c r="G88" s="251">
        <v>108</v>
      </c>
      <c r="H88" s="248">
        <v>109.2</v>
      </c>
      <c r="I88" s="252">
        <v>108.6</v>
      </c>
      <c r="J88" s="253">
        <v>109.5</v>
      </c>
      <c r="K88" s="250">
        <v>108.8</v>
      </c>
      <c r="L88" s="248">
        <v>108.6</v>
      </c>
      <c r="M88" s="252">
        <v>110</v>
      </c>
      <c r="N88" s="254">
        <v>109</v>
      </c>
      <c r="O88" s="255">
        <v>108.8</v>
      </c>
      <c r="P88" s="248">
        <v>107.3</v>
      </c>
      <c r="Q88" s="255">
        <v>109</v>
      </c>
      <c r="R88" s="223"/>
      <c r="S88" s="306">
        <v>107.1</v>
      </c>
      <c r="T88" s="307">
        <v>112.1</v>
      </c>
      <c r="U88" s="308">
        <v>114.3</v>
      </c>
      <c r="V88" s="284">
        <v>118.9</v>
      </c>
      <c r="W88" s="309">
        <v>112.1</v>
      </c>
      <c r="X88" s="307">
        <v>116.2</v>
      </c>
      <c r="Y88" s="308">
        <v>109.5</v>
      </c>
      <c r="Z88" s="311">
        <v>122.6</v>
      </c>
      <c r="AA88" s="250">
        <v>124.3</v>
      </c>
      <c r="AB88" s="220"/>
      <c r="AC88" s="235"/>
      <c r="AE88" s="355"/>
      <c r="AF88" s="356"/>
      <c r="AH88" s="356"/>
      <c r="AJ88" s="356"/>
      <c r="AL88" s="357"/>
      <c r="AM88" s="356"/>
      <c r="AN88" s="356"/>
      <c r="AP88" s="357"/>
      <c r="AQ88" s="356"/>
      <c r="AR88" s="356"/>
      <c r="AT88" s="357"/>
      <c r="AU88" s="356"/>
      <c r="AV88" s="356"/>
    </row>
    <row r="89" spans="1:48" ht="18" customHeight="1" x14ac:dyDescent="0.25">
      <c r="A89" s="220"/>
      <c r="B89" s="205">
        <v>4</v>
      </c>
      <c r="C89" s="206">
        <v>2014</v>
      </c>
      <c r="D89" s="248">
        <v>108.6</v>
      </c>
      <c r="E89" s="249">
        <v>108.5</v>
      </c>
      <c r="F89" s="250">
        <v>109.4</v>
      </c>
      <c r="G89" s="251">
        <v>108.4</v>
      </c>
      <c r="H89" s="248">
        <v>109.7</v>
      </c>
      <c r="I89" s="252">
        <v>109.1</v>
      </c>
      <c r="J89" s="253">
        <v>109.9</v>
      </c>
      <c r="K89" s="250">
        <v>109.4</v>
      </c>
      <c r="L89" s="248">
        <v>109.1</v>
      </c>
      <c r="M89" s="252">
        <v>110.6</v>
      </c>
      <c r="N89" s="254">
        <v>109.5</v>
      </c>
      <c r="O89" s="255">
        <v>109.2</v>
      </c>
      <c r="P89" s="248">
        <v>107.8</v>
      </c>
      <c r="Q89" s="255">
        <v>109.4</v>
      </c>
      <c r="R89" s="223"/>
      <c r="S89" s="306">
        <v>107.5</v>
      </c>
      <c r="T89" s="307">
        <v>112.6</v>
      </c>
      <c r="U89" s="308">
        <v>114.2</v>
      </c>
      <c r="V89" s="284">
        <v>116.4</v>
      </c>
      <c r="W89" s="309">
        <v>112.9</v>
      </c>
      <c r="X89" s="307">
        <v>117.5</v>
      </c>
      <c r="Y89" s="308">
        <v>111.4</v>
      </c>
      <c r="Z89" s="311">
        <v>121.7</v>
      </c>
      <c r="AA89" s="250">
        <v>123.2</v>
      </c>
      <c r="AB89" s="220"/>
      <c r="AC89" s="235"/>
      <c r="AE89" s="355"/>
      <c r="AF89" s="356"/>
      <c r="AH89" s="356"/>
      <c r="AJ89" s="356"/>
      <c r="AL89" s="357"/>
      <c r="AM89" s="356"/>
      <c r="AN89" s="356"/>
      <c r="AP89" s="357"/>
      <c r="AQ89" s="356"/>
      <c r="AR89" s="356"/>
      <c r="AT89" s="357"/>
      <c r="AU89" s="356"/>
      <c r="AV89" s="356"/>
    </row>
    <row r="90" spans="1:48" ht="18" customHeight="1" x14ac:dyDescent="0.25">
      <c r="A90" s="220"/>
      <c r="B90" s="205">
        <v>5</v>
      </c>
      <c r="C90" s="206">
        <v>2014</v>
      </c>
      <c r="D90" s="248">
        <v>108.9</v>
      </c>
      <c r="E90" s="249">
        <v>108.8</v>
      </c>
      <c r="F90" s="250">
        <v>109.6</v>
      </c>
      <c r="G90" s="251">
        <v>108.8</v>
      </c>
      <c r="H90" s="248">
        <v>109.9</v>
      </c>
      <c r="I90" s="252">
        <v>109.4</v>
      </c>
      <c r="J90" s="253">
        <v>110.3</v>
      </c>
      <c r="K90" s="250">
        <v>109.6</v>
      </c>
      <c r="L90" s="248">
        <v>109.3</v>
      </c>
      <c r="M90" s="252">
        <v>110.7</v>
      </c>
      <c r="N90" s="254">
        <v>109.6</v>
      </c>
      <c r="O90" s="255">
        <v>109.3</v>
      </c>
      <c r="P90" s="248">
        <v>108.2</v>
      </c>
      <c r="Q90" s="255">
        <v>109.8</v>
      </c>
      <c r="R90" s="223"/>
      <c r="S90" s="306">
        <v>107.7</v>
      </c>
      <c r="T90" s="307">
        <v>112.4</v>
      </c>
      <c r="U90" s="308">
        <v>113.6</v>
      </c>
      <c r="V90" s="284">
        <v>114.5</v>
      </c>
      <c r="W90" s="309">
        <v>113.4</v>
      </c>
      <c r="X90" s="307">
        <v>117.7</v>
      </c>
      <c r="Y90" s="308">
        <v>111.8</v>
      </c>
      <c r="Z90" s="311">
        <v>119</v>
      </c>
      <c r="AA90" s="250">
        <v>120.3</v>
      </c>
      <c r="AB90" s="220"/>
      <c r="AC90" s="235"/>
      <c r="AE90" s="355"/>
      <c r="AF90" s="356"/>
      <c r="AH90" s="356"/>
      <c r="AJ90" s="356"/>
      <c r="AL90" s="357"/>
      <c r="AM90" s="356"/>
      <c r="AN90" s="356"/>
      <c r="AP90" s="357"/>
      <c r="AQ90" s="356"/>
      <c r="AR90" s="356"/>
      <c r="AT90" s="357"/>
      <c r="AU90" s="356"/>
      <c r="AV90" s="356"/>
    </row>
    <row r="91" spans="1:48" ht="18" customHeight="1" x14ac:dyDescent="0.25">
      <c r="A91" s="220"/>
      <c r="B91" s="205">
        <v>6</v>
      </c>
      <c r="C91" s="206">
        <v>2014</v>
      </c>
      <c r="D91" s="248">
        <v>109.2</v>
      </c>
      <c r="E91" s="249">
        <v>109.4</v>
      </c>
      <c r="F91" s="250">
        <v>110.1</v>
      </c>
      <c r="G91" s="251">
        <v>109.2</v>
      </c>
      <c r="H91" s="248">
        <v>110.2</v>
      </c>
      <c r="I91" s="252">
        <v>109.5</v>
      </c>
      <c r="J91" s="253">
        <v>110.2</v>
      </c>
      <c r="K91" s="250">
        <v>109.9</v>
      </c>
      <c r="L91" s="248">
        <v>109.9</v>
      </c>
      <c r="M91" s="252">
        <v>111.2</v>
      </c>
      <c r="N91" s="254">
        <v>110</v>
      </c>
      <c r="O91" s="255">
        <v>109.5</v>
      </c>
      <c r="P91" s="248">
        <v>108.7</v>
      </c>
      <c r="Q91" s="255">
        <v>109.8</v>
      </c>
      <c r="R91" s="223"/>
      <c r="S91" s="306">
        <v>108</v>
      </c>
      <c r="T91" s="307">
        <v>112.4</v>
      </c>
      <c r="U91" s="308">
        <v>114.1</v>
      </c>
      <c r="V91" s="284">
        <v>114</v>
      </c>
      <c r="W91" s="309">
        <v>113.6</v>
      </c>
      <c r="X91" s="307">
        <v>116.7</v>
      </c>
      <c r="Y91" s="308">
        <v>110.9</v>
      </c>
      <c r="Z91" s="311">
        <v>116.9</v>
      </c>
      <c r="AA91" s="250">
        <v>118</v>
      </c>
      <c r="AB91" s="220"/>
      <c r="AC91" s="235"/>
      <c r="AE91" s="355"/>
      <c r="AF91" s="356"/>
      <c r="AH91" s="356"/>
      <c r="AJ91" s="356"/>
      <c r="AL91" s="357"/>
      <c r="AM91" s="356"/>
      <c r="AN91" s="356"/>
      <c r="AP91" s="357"/>
      <c r="AQ91" s="356"/>
      <c r="AR91" s="356"/>
      <c r="AT91" s="357"/>
      <c r="AU91" s="356"/>
      <c r="AV91" s="356"/>
    </row>
    <row r="92" spans="1:48" ht="18" customHeight="1" x14ac:dyDescent="0.25">
      <c r="A92" s="220"/>
      <c r="B92" s="205">
        <v>7</v>
      </c>
      <c r="C92" s="206">
        <v>2014</v>
      </c>
      <c r="D92" s="248">
        <v>110.1</v>
      </c>
      <c r="E92" s="249">
        <v>110.5</v>
      </c>
      <c r="F92" s="250">
        <v>111.3</v>
      </c>
      <c r="G92" s="251">
        <v>111.2</v>
      </c>
      <c r="H92" s="248">
        <v>110.8</v>
      </c>
      <c r="I92" s="252">
        <v>110.9</v>
      </c>
      <c r="J92" s="253">
        <v>110.7</v>
      </c>
      <c r="K92" s="250">
        <v>111</v>
      </c>
      <c r="L92" s="248">
        <v>110.5</v>
      </c>
      <c r="M92" s="252">
        <v>112.1</v>
      </c>
      <c r="N92" s="254">
        <v>110.6</v>
      </c>
      <c r="O92" s="255">
        <v>110.5</v>
      </c>
      <c r="P92" s="248">
        <v>109.1</v>
      </c>
      <c r="Q92" s="255">
        <v>110.6</v>
      </c>
      <c r="R92" s="223"/>
      <c r="S92" s="306">
        <v>108</v>
      </c>
      <c r="T92" s="307">
        <v>112</v>
      </c>
      <c r="U92" s="308">
        <v>115.1</v>
      </c>
      <c r="V92" s="284">
        <v>113.6</v>
      </c>
      <c r="W92" s="309">
        <v>113.7</v>
      </c>
      <c r="X92" s="307">
        <v>116.3</v>
      </c>
      <c r="Y92" s="308">
        <v>110.6</v>
      </c>
      <c r="Z92" s="311">
        <v>118.2</v>
      </c>
      <c r="AA92" s="250">
        <v>119.4</v>
      </c>
      <c r="AB92" s="220"/>
      <c r="AC92" s="235"/>
      <c r="AE92" s="355"/>
      <c r="AF92" s="356"/>
      <c r="AH92" s="356"/>
      <c r="AJ92" s="356"/>
      <c r="AL92" s="357"/>
      <c r="AM92" s="356"/>
      <c r="AN92" s="356"/>
      <c r="AP92" s="357"/>
      <c r="AQ92" s="356"/>
      <c r="AR92" s="356"/>
      <c r="AT92" s="357"/>
      <c r="AU92" s="356"/>
      <c r="AV92" s="356"/>
    </row>
    <row r="93" spans="1:48" ht="18" customHeight="1" x14ac:dyDescent="0.25">
      <c r="A93" s="220"/>
      <c r="B93" s="205">
        <v>8</v>
      </c>
      <c r="C93" s="206">
        <v>2014</v>
      </c>
      <c r="D93" s="248">
        <v>110.5</v>
      </c>
      <c r="E93" s="249">
        <v>110.8</v>
      </c>
      <c r="F93" s="250">
        <v>111.5</v>
      </c>
      <c r="G93" s="251">
        <v>111.4</v>
      </c>
      <c r="H93" s="248">
        <v>111.2</v>
      </c>
      <c r="I93" s="252">
        <v>111</v>
      </c>
      <c r="J93" s="253">
        <v>111.2</v>
      </c>
      <c r="K93" s="250">
        <v>111.2</v>
      </c>
      <c r="L93" s="248">
        <v>111</v>
      </c>
      <c r="M93" s="252">
        <v>112.4</v>
      </c>
      <c r="N93" s="254">
        <v>111</v>
      </c>
      <c r="O93" s="255">
        <v>110.9</v>
      </c>
      <c r="P93" s="248">
        <v>109.7</v>
      </c>
      <c r="Q93" s="255">
        <v>111</v>
      </c>
      <c r="R93" s="223"/>
      <c r="S93" s="306">
        <v>108</v>
      </c>
      <c r="T93" s="307">
        <v>112</v>
      </c>
      <c r="U93" s="308">
        <v>114</v>
      </c>
      <c r="V93" s="284">
        <v>112.2</v>
      </c>
      <c r="W93" s="309">
        <v>113.9</v>
      </c>
      <c r="X93" s="307">
        <v>117.2</v>
      </c>
      <c r="Y93" s="308">
        <v>110.7</v>
      </c>
      <c r="Z93" s="311">
        <v>117.6</v>
      </c>
      <c r="AA93" s="250">
        <v>118.9</v>
      </c>
      <c r="AB93" s="220"/>
      <c r="AC93" s="235"/>
      <c r="AE93" s="355"/>
      <c r="AF93" s="356"/>
      <c r="AH93" s="356"/>
      <c r="AJ93" s="356"/>
      <c r="AL93" s="357"/>
      <c r="AM93" s="356"/>
      <c r="AN93" s="356"/>
      <c r="AP93" s="357"/>
      <c r="AQ93" s="356"/>
      <c r="AR93" s="356"/>
      <c r="AT93" s="357"/>
      <c r="AU93" s="356"/>
      <c r="AV93" s="356"/>
    </row>
    <row r="94" spans="1:48" ht="18" customHeight="1" x14ac:dyDescent="0.25">
      <c r="A94" s="220"/>
      <c r="B94" s="205">
        <v>9</v>
      </c>
      <c r="C94" s="206">
        <v>2014</v>
      </c>
      <c r="D94" s="248">
        <v>110.9</v>
      </c>
      <c r="E94" s="249">
        <v>110.6</v>
      </c>
      <c r="F94" s="250">
        <v>111.4</v>
      </c>
      <c r="G94" s="251">
        <v>111.3</v>
      </c>
      <c r="H94" s="248">
        <v>111.2</v>
      </c>
      <c r="I94" s="252">
        <v>110.9</v>
      </c>
      <c r="J94" s="253">
        <v>111</v>
      </c>
      <c r="K94" s="250">
        <v>111.1</v>
      </c>
      <c r="L94" s="248">
        <v>110.8</v>
      </c>
      <c r="M94" s="252">
        <v>112.3</v>
      </c>
      <c r="N94" s="254">
        <v>111</v>
      </c>
      <c r="O94" s="255">
        <v>110.7</v>
      </c>
      <c r="P94" s="248">
        <v>109.7</v>
      </c>
      <c r="Q94" s="255">
        <v>111</v>
      </c>
      <c r="R94" s="223"/>
      <c r="S94" s="306">
        <v>108.7</v>
      </c>
      <c r="T94" s="307">
        <v>113.2</v>
      </c>
      <c r="U94" s="308">
        <v>114.1</v>
      </c>
      <c r="V94" s="284">
        <v>110.6</v>
      </c>
      <c r="W94" s="309">
        <v>113.9</v>
      </c>
      <c r="X94" s="307">
        <v>117.2</v>
      </c>
      <c r="Y94" s="308">
        <v>110.6</v>
      </c>
      <c r="Z94" s="311">
        <v>115.3</v>
      </c>
      <c r="AA94" s="250">
        <v>116.4</v>
      </c>
      <c r="AB94" s="220"/>
      <c r="AC94" s="235"/>
      <c r="AE94" s="355"/>
      <c r="AF94" s="356"/>
      <c r="AH94" s="356"/>
      <c r="AJ94" s="356"/>
      <c r="AL94" s="357"/>
      <c r="AM94" s="356"/>
      <c r="AN94" s="356"/>
      <c r="AP94" s="357"/>
      <c r="AQ94" s="356"/>
      <c r="AR94" s="356"/>
      <c r="AT94" s="357"/>
      <c r="AU94" s="356"/>
      <c r="AV94" s="356"/>
    </row>
    <row r="95" spans="1:48" ht="18" customHeight="1" x14ac:dyDescent="0.25">
      <c r="A95" s="220"/>
      <c r="B95" s="205">
        <v>10</v>
      </c>
      <c r="C95" s="206">
        <v>2014</v>
      </c>
      <c r="D95" s="248">
        <v>111.3</v>
      </c>
      <c r="E95" s="249">
        <v>110.8</v>
      </c>
      <c r="F95" s="250">
        <v>111.6</v>
      </c>
      <c r="G95" s="251">
        <v>111.4</v>
      </c>
      <c r="H95" s="248">
        <v>111.5</v>
      </c>
      <c r="I95" s="252">
        <v>111</v>
      </c>
      <c r="J95" s="253">
        <v>111.3</v>
      </c>
      <c r="K95" s="250">
        <v>111.2</v>
      </c>
      <c r="L95" s="248">
        <v>110.8</v>
      </c>
      <c r="M95" s="252">
        <v>112.5</v>
      </c>
      <c r="N95" s="254">
        <v>111.2</v>
      </c>
      <c r="O95" s="255">
        <v>110.8</v>
      </c>
      <c r="P95" s="248">
        <v>110</v>
      </c>
      <c r="Q95" s="255">
        <v>111</v>
      </c>
      <c r="R95" s="223"/>
      <c r="S95" s="306">
        <v>108.8</v>
      </c>
      <c r="T95" s="307">
        <v>113.2</v>
      </c>
      <c r="U95" s="308">
        <v>114.4</v>
      </c>
      <c r="V95" s="284">
        <v>104.2</v>
      </c>
      <c r="W95" s="309">
        <v>113.3</v>
      </c>
      <c r="X95" s="307">
        <v>117.1</v>
      </c>
      <c r="Y95" s="308">
        <v>109.4</v>
      </c>
      <c r="Z95" s="311">
        <v>114.2</v>
      </c>
      <c r="AA95" s="250">
        <v>115.2</v>
      </c>
      <c r="AB95" s="220"/>
      <c r="AC95" s="235"/>
      <c r="AE95" s="355"/>
      <c r="AF95" s="356"/>
      <c r="AH95" s="356"/>
      <c r="AJ95" s="356"/>
      <c r="AL95" s="357"/>
      <c r="AM95" s="356"/>
      <c r="AN95" s="356"/>
      <c r="AP95" s="357"/>
      <c r="AQ95" s="356"/>
      <c r="AR95" s="356"/>
      <c r="AT95" s="357"/>
      <c r="AU95" s="356"/>
      <c r="AV95" s="356"/>
    </row>
    <row r="96" spans="1:48" ht="18" customHeight="1" x14ac:dyDescent="0.25">
      <c r="A96" s="220"/>
      <c r="B96" s="205">
        <v>11</v>
      </c>
      <c r="C96" s="206">
        <v>2014</v>
      </c>
      <c r="D96" s="248">
        <v>111.4</v>
      </c>
      <c r="E96" s="249">
        <v>111</v>
      </c>
      <c r="F96" s="250">
        <v>111.6</v>
      </c>
      <c r="G96" s="251">
        <v>111.3</v>
      </c>
      <c r="H96" s="248">
        <v>111.6</v>
      </c>
      <c r="I96" s="252">
        <v>110.8</v>
      </c>
      <c r="J96" s="253">
        <v>111.3</v>
      </c>
      <c r="K96" s="250">
        <v>111.1</v>
      </c>
      <c r="L96" s="248">
        <v>110.9</v>
      </c>
      <c r="M96" s="252">
        <v>112.4</v>
      </c>
      <c r="N96" s="254">
        <v>111.1</v>
      </c>
      <c r="O96" s="255">
        <v>111</v>
      </c>
      <c r="P96" s="248">
        <v>110.1</v>
      </c>
      <c r="Q96" s="255">
        <v>110.9</v>
      </c>
      <c r="R96" s="223"/>
      <c r="S96" s="306">
        <v>108.5</v>
      </c>
      <c r="T96" s="307">
        <v>114</v>
      </c>
      <c r="U96" s="308">
        <v>113.7</v>
      </c>
      <c r="V96" s="284">
        <v>97.9</v>
      </c>
      <c r="W96" s="309">
        <v>113.6</v>
      </c>
      <c r="X96" s="307">
        <v>117.1</v>
      </c>
      <c r="Y96" s="308">
        <v>109.4</v>
      </c>
      <c r="Z96" s="311">
        <v>106.4</v>
      </c>
      <c r="AA96" s="250">
        <v>109.4</v>
      </c>
      <c r="AB96" s="220"/>
      <c r="AC96" s="235"/>
      <c r="AE96" s="355"/>
      <c r="AF96" s="356"/>
      <c r="AH96" s="356"/>
      <c r="AJ96" s="356"/>
      <c r="AL96" s="357"/>
      <c r="AM96" s="356"/>
      <c r="AN96" s="356"/>
      <c r="AP96" s="357"/>
      <c r="AQ96" s="356"/>
      <c r="AR96" s="356"/>
      <c r="AT96" s="357"/>
      <c r="AU96" s="356"/>
      <c r="AV96" s="356"/>
    </row>
    <row r="97" spans="1:48" ht="18" customHeight="1" x14ac:dyDescent="0.25">
      <c r="A97" s="220"/>
      <c r="B97" s="207">
        <v>12</v>
      </c>
      <c r="C97" s="208">
        <v>2014</v>
      </c>
      <c r="D97" s="256">
        <v>111.3</v>
      </c>
      <c r="E97" s="257">
        <v>110.9</v>
      </c>
      <c r="F97" s="258">
        <v>111.3</v>
      </c>
      <c r="G97" s="259">
        <v>111</v>
      </c>
      <c r="H97" s="256">
        <v>111.3</v>
      </c>
      <c r="I97" s="260">
        <v>110.5</v>
      </c>
      <c r="J97" s="261">
        <v>111.1</v>
      </c>
      <c r="K97" s="258">
        <v>110.8</v>
      </c>
      <c r="L97" s="256">
        <v>110.5</v>
      </c>
      <c r="M97" s="260">
        <v>112.3</v>
      </c>
      <c r="N97" s="262">
        <v>110.8</v>
      </c>
      <c r="O97" s="263">
        <v>110.6</v>
      </c>
      <c r="P97" s="256">
        <v>109.7</v>
      </c>
      <c r="Q97" s="263">
        <v>110.6</v>
      </c>
      <c r="R97" s="223"/>
      <c r="S97" s="312">
        <v>108.1</v>
      </c>
      <c r="T97" s="313">
        <v>114</v>
      </c>
      <c r="U97" s="314">
        <v>110.5</v>
      </c>
      <c r="V97" s="294">
        <v>89.3</v>
      </c>
      <c r="W97" s="315">
        <v>113.6</v>
      </c>
      <c r="X97" s="313">
        <v>117.1</v>
      </c>
      <c r="Y97" s="314">
        <v>109.4</v>
      </c>
      <c r="Z97" s="317">
        <v>101.3</v>
      </c>
      <c r="AA97" s="258">
        <v>104.4</v>
      </c>
      <c r="AB97" s="220"/>
      <c r="AC97" s="235"/>
      <c r="AE97" s="355"/>
      <c r="AF97" s="356"/>
      <c r="AH97" s="356"/>
      <c r="AJ97" s="356"/>
      <c r="AL97" s="357"/>
      <c r="AM97" s="356"/>
      <c r="AN97" s="356"/>
      <c r="AP97" s="357"/>
      <c r="AQ97" s="356"/>
      <c r="AR97" s="356"/>
      <c r="AT97" s="357"/>
      <c r="AU97" s="356"/>
      <c r="AV97" s="356"/>
    </row>
    <row r="98" spans="1:48" ht="18" customHeight="1" x14ac:dyDescent="0.25">
      <c r="A98" s="220"/>
      <c r="B98" s="203">
        <v>1</v>
      </c>
      <c r="C98" s="204">
        <v>2015</v>
      </c>
      <c r="D98" s="264">
        <v>111.2</v>
      </c>
      <c r="E98" s="265">
        <v>110.8</v>
      </c>
      <c r="F98" s="266">
        <v>111.1</v>
      </c>
      <c r="G98" s="267">
        <v>111</v>
      </c>
      <c r="H98" s="264">
        <v>111.5</v>
      </c>
      <c r="I98" s="268">
        <v>110</v>
      </c>
      <c r="J98" s="269">
        <v>110.9</v>
      </c>
      <c r="K98" s="266">
        <v>110.5</v>
      </c>
      <c r="L98" s="264">
        <v>110.6</v>
      </c>
      <c r="M98" s="268">
        <v>112</v>
      </c>
      <c r="N98" s="270">
        <v>110.7</v>
      </c>
      <c r="O98" s="271">
        <v>110.2</v>
      </c>
      <c r="P98" s="264">
        <v>109.9</v>
      </c>
      <c r="Q98" s="271">
        <v>110.6</v>
      </c>
      <c r="R98" s="223"/>
      <c r="S98" s="299">
        <v>106.1</v>
      </c>
      <c r="T98" s="300">
        <v>111.3</v>
      </c>
      <c r="U98" s="301">
        <v>107.2</v>
      </c>
      <c r="V98" s="302">
        <v>78.5</v>
      </c>
      <c r="W98" s="303">
        <v>114.8</v>
      </c>
      <c r="X98" s="300">
        <v>118</v>
      </c>
      <c r="Y98" s="301">
        <v>110.1</v>
      </c>
      <c r="Z98" s="305">
        <v>94.6</v>
      </c>
      <c r="AA98" s="266">
        <v>97.5</v>
      </c>
      <c r="AB98" s="220"/>
      <c r="AC98" s="235"/>
      <c r="AE98" s="355"/>
      <c r="AF98" s="356"/>
      <c r="AH98" s="356"/>
      <c r="AJ98" s="356"/>
      <c r="AL98" s="357"/>
      <c r="AM98" s="356"/>
      <c r="AN98" s="356"/>
      <c r="AP98" s="357"/>
      <c r="AQ98" s="356"/>
      <c r="AR98" s="356"/>
      <c r="AT98" s="357"/>
      <c r="AU98" s="356"/>
      <c r="AV98" s="356"/>
    </row>
    <row r="99" spans="1:48" ht="18" customHeight="1" x14ac:dyDescent="0.25">
      <c r="A99" s="220"/>
      <c r="B99" s="205">
        <v>2</v>
      </c>
      <c r="C99" s="206">
        <v>2015</v>
      </c>
      <c r="D99" s="248">
        <v>111.6</v>
      </c>
      <c r="E99" s="249">
        <v>111.5</v>
      </c>
      <c r="F99" s="250">
        <v>112.1</v>
      </c>
      <c r="G99" s="251">
        <v>111.5</v>
      </c>
      <c r="H99" s="248">
        <v>112.2</v>
      </c>
      <c r="I99" s="252">
        <v>110.5</v>
      </c>
      <c r="J99" s="253">
        <v>112.1</v>
      </c>
      <c r="K99" s="250">
        <v>111.1</v>
      </c>
      <c r="L99" s="248">
        <v>111.21</v>
      </c>
      <c r="M99" s="252">
        <v>112.7</v>
      </c>
      <c r="N99" s="254">
        <v>111.9</v>
      </c>
      <c r="O99" s="255">
        <v>111.1</v>
      </c>
      <c r="P99" s="248">
        <v>110.6</v>
      </c>
      <c r="Q99" s="255">
        <v>111.2</v>
      </c>
      <c r="R99" s="223"/>
      <c r="S99" s="306">
        <v>105.5</v>
      </c>
      <c r="T99" s="307">
        <v>111.9</v>
      </c>
      <c r="U99" s="308">
        <v>102.4</v>
      </c>
      <c r="V99" s="284">
        <v>72.599999999999994</v>
      </c>
      <c r="W99" s="309">
        <v>115.4</v>
      </c>
      <c r="X99" s="307">
        <v>118.2</v>
      </c>
      <c r="Y99" s="308">
        <v>110.5</v>
      </c>
      <c r="Z99" s="311">
        <v>85.2</v>
      </c>
      <c r="AA99" s="250">
        <v>87.5</v>
      </c>
      <c r="AB99" s="220"/>
      <c r="AC99" s="235"/>
      <c r="AE99" s="355"/>
      <c r="AF99" s="356"/>
      <c r="AH99" s="356"/>
      <c r="AJ99" s="356"/>
      <c r="AL99" s="357"/>
      <c r="AM99" s="356"/>
      <c r="AN99" s="356"/>
      <c r="AP99" s="357"/>
      <c r="AQ99" s="356"/>
      <c r="AR99" s="356"/>
      <c r="AT99" s="357"/>
      <c r="AU99" s="356"/>
      <c r="AV99" s="356"/>
    </row>
    <row r="100" spans="1:48" ht="18" customHeight="1" x14ac:dyDescent="0.25">
      <c r="A100" s="220"/>
      <c r="B100" s="205">
        <v>3</v>
      </c>
      <c r="C100" s="206">
        <v>2015</v>
      </c>
      <c r="D100" s="248">
        <v>113.3</v>
      </c>
      <c r="E100" s="249">
        <v>112.7</v>
      </c>
      <c r="F100" s="250">
        <v>113.5</v>
      </c>
      <c r="G100" s="251">
        <v>112.9</v>
      </c>
      <c r="H100" s="248">
        <v>113.9</v>
      </c>
      <c r="I100" s="252">
        <v>112.2</v>
      </c>
      <c r="J100" s="253">
        <v>113.5</v>
      </c>
      <c r="K100" s="250">
        <v>112.7</v>
      </c>
      <c r="L100" s="248">
        <v>112.5</v>
      </c>
      <c r="M100" s="252">
        <v>114.5</v>
      </c>
      <c r="N100" s="254">
        <v>113.5</v>
      </c>
      <c r="O100" s="255">
        <v>112.6</v>
      </c>
      <c r="P100" s="248">
        <v>111.7</v>
      </c>
      <c r="Q100" s="255">
        <v>112.7</v>
      </c>
      <c r="R100" s="223"/>
      <c r="S100" s="306">
        <v>105.2</v>
      </c>
      <c r="T100" s="307">
        <v>111.3</v>
      </c>
      <c r="U100" s="308">
        <v>104.3</v>
      </c>
      <c r="V100" s="284">
        <v>79.900000000000006</v>
      </c>
      <c r="W100" s="309">
        <v>115.5</v>
      </c>
      <c r="X100" s="307">
        <v>118.2</v>
      </c>
      <c r="Y100" s="308">
        <v>110.5</v>
      </c>
      <c r="Z100" s="311">
        <v>92</v>
      </c>
      <c r="AA100" s="250">
        <v>94.7</v>
      </c>
      <c r="AB100" s="220"/>
      <c r="AC100" s="235"/>
      <c r="AE100" s="355"/>
      <c r="AF100" s="356"/>
      <c r="AH100" s="356"/>
      <c r="AJ100" s="356"/>
      <c r="AL100" s="357"/>
      <c r="AM100" s="356"/>
      <c r="AN100" s="356"/>
      <c r="AP100" s="357"/>
      <c r="AQ100" s="356"/>
      <c r="AR100" s="356"/>
      <c r="AT100" s="357"/>
      <c r="AU100" s="356"/>
      <c r="AV100" s="356"/>
    </row>
    <row r="101" spans="1:48" ht="18" customHeight="1" x14ac:dyDescent="0.25">
      <c r="A101" s="220"/>
      <c r="B101" s="205">
        <v>4</v>
      </c>
      <c r="C101" s="206">
        <v>2015</v>
      </c>
      <c r="D101" s="248">
        <v>114.2</v>
      </c>
      <c r="E101" s="249">
        <v>113.7</v>
      </c>
      <c r="F101" s="250">
        <v>114.5</v>
      </c>
      <c r="G101" s="251">
        <v>114</v>
      </c>
      <c r="H101" s="248">
        <v>115</v>
      </c>
      <c r="I101" s="252">
        <v>113.4</v>
      </c>
      <c r="J101" s="253">
        <v>114.4</v>
      </c>
      <c r="K101" s="250">
        <v>113.8</v>
      </c>
      <c r="L101" s="248">
        <v>113.8</v>
      </c>
      <c r="M101" s="252">
        <v>115.6</v>
      </c>
      <c r="N101" s="254">
        <v>114.4</v>
      </c>
      <c r="O101" s="255">
        <v>113.8</v>
      </c>
      <c r="P101" s="248">
        <v>112.8</v>
      </c>
      <c r="Q101" s="255">
        <v>113.9</v>
      </c>
      <c r="R101" s="223"/>
      <c r="S101" s="306">
        <v>102.2</v>
      </c>
      <c r="T101" s="307">
        <v>107.4</v>
      </c>
      <c r="U101" s="308">
        <v>102.6</v>
      </c>
      <c r="V101" s="284">
        <v>84</v>
      </c>
      <c r="W101" s="309">
        <v>115.7</v>
      </c>
      <c r="X101" s="307">
        <v>116.3</v>
      </c>
      <c r="Y101" s="308">
        <v>108.8</v>
      </c>
      <c r="Z101" s="311">
        <v>103.3</v>
      </c>
      <c r="AA101" s="250">
        <v>106.5</v>
      </c>
      <c r="AB101" s="220"/>
      <c r="AC101" s="235"/>
      <c r="AE101" s="355"/>
      <c r="AF101" s="356"/>
      <c r="AH101" s="356"/>
      <c r="AJ101" s="356"/>
      <c r="AL101" s="357"/>
      <c r="AM101" s="356"/>
      <c r="AN101" s="356"/>
      <c r="AP101" s="357"/>
      <c r="AQ101" s="356"/>
      <c r="AR101" s="356"/>
      <c r="AT101" s="357"/>
      <c r="AU101" s="356"/>
      <c r="AV101" s="356"/>
    </row>
    <row r="102" spans="1:48" ht="18" customHeight="1" x14ac:dyDescent="0.25">
      <c r="A102" s="220"/>
      <c r="B102" s="205">
        <v>5</v>
      </c>
      <c r="C102" s="206">
        <v>2015</v>
      </c>
      <c r="D102" s="248">
        <v>114.4</v>
      </c>
      <c r="E102" s="249">
        <v>113.8</v>
      </c>
      <c r="F102" s="250">
        <v>114.8</v>
      </c>
      <c r="G102" s="251">
        <v>114.2</v>
      </c>
      <c r="H102" s="248">
        <v>115.3</v>
      </c>
      <c r="I102" s="252">
        <v>113.7</v>
      </c>
      <c r="J102" s="253">
        <v>114.6</v>
      </c>
      <c r="K102" s="250">
        <v>114</v>
      </c>
      <c r="L102" s="248">
        <v>114</v>
      </c>
      <c r="M102" s="252">
        <v>116</v>
      </c>
      <c r="N102" s="254">
        <v>114.7</v>
      </c>
      <c r="O102" s="255">
        <v>114.1</v>
      </c>
      <c r="P102" s="248">
        <v>113</v>
      </c>
      <c r="Q102" s="255">
        <v>114</v>
      </c>
      <c r="R102" s="223"/>
      <c r="S102" s="306">
        <v>100.7</v>
      </c>
      <c r="T102" s="307">
        <v>105.6</v>
      </c>
      <c r="U102" s="308">
        <v>101.8</v>
      </c>
      <c r="V102" s="284">
        <v>85</v>
      </c>
      <c r="W102" s="309">
        <v>115.9</v>
      </c>
      <c r="X102" s="307">
        <v>116.3</v>
      </c>
      <c r="Y102" s="308">
        <v>108.7</v>
      </c>
      <c r="Z102" s="311">
        <v>102.8</v>
      </c>
      <c r="AA102" s="250">
        <v>106.7</v>
      </c>
      <c r="AB102" s="220"/>
      <c r="AC102" s="235" t="s">
        <v>77</v>
      </c>
      <c r="AE102" s="355"/>
      <c r="AF102" s="356"/>
      <c r="AH102" s="356"/>
      <c r="AJ102" s="356"/>
      <c r="AL102" s="357"/>
      <c r="AM102" s="356"/>
      <c r="AN102" s="356"/>
      <c r="AP102" s="357"/>
      <c r="AQ102" s="356"/>
      <c r="AR102" s="356"/>
      <c r="AT102" s="357"/>
      <c r="AU102" s="356"/>
      <c r="AV102" s="356"/>
    </row>
    <row r="103" spans="1:48" ht="18" customHeight="1" x14ac:dyDescent="0.25">
      <c r="A103" s="220"/>
      <c r="B103" s="205">
        <v>6</v>
      </c>
      <c r="C103" s="206">
        <v>2015</v>
      </c>
      <c r="D103" s="248">
        <v>114.8</v>
      </c>
      <c r="E103" s="249">
        <v>114.3</v>
      </c>
      <c r="F103" s="250">
        <v>115.4</v>
      </c>
      <c r="G103" s="251">
        <v>115</v>
      </c>
      <c r="H103" s="248">
        <v>115.8</v>
      </c>
      <c r="I103" s="252">
        <v>114</v>
      </c>
      <c r="J103" s="253">
        <v>114.9</v>
      </c>
      <c r="K103" s="250">
        <v>114.5</v>
      </c>
      <c r="L103" s="248">
        <v>114.3</v>
      </c>
      <c r="M103" s="252">
        <v>116.5</v>
      </c>
      <c r="N103" s="254">
        <v>115.1</v>
      </c>
      <c r="O103" s="255">
        <v>114.7</v>
      </c>
      <c r="P103" s="248">
        <v>113.8</v>
      </c>
      <c r="Q103" s="255">
        <v>114.7</v>
      </c>
      <c r="R103" s="223"/>
      <c r="S103" s="306">
        <v>100.9</v>
      </c>
      <c r="T103" s="307">
        <v>105.3</v>
      </c>
      <c r="U103" s="308">
        <v>103</v>
      </c>
      <c r="V103" s="284">
        <v>88.1</v>
      </c>
      <c r="W103" s="309">
        <v>115.9</v>
      </c>
      <c r="X103" s="307">
        <v>116.6</v>
      </c>
      <c r="Y103" s="308">
        <v>108.4</v>
      </c>
      <c r="Z103" s="311">
        <v>107.6</v>
      </c>
      <c r="AA103" s="250">
        <v>114</v>
      </c>
      <c r="AB103" s="220"/>
      <c r="AC103" s="235" t="s">
        <v>77</v>
      </c>
      <c r="AE103" s="355"/>
      <c r="AF103" s="356"/>
      <c r="AH103" s="356"/>
      <c r="AJ103" s="356"/>
      <c r="AL103" s="357"/>
      <c r="AM103" s="356"/>
      <c r="AN103" s="356"/>
      <c r="AP103" s="357"/>
      <c r="AQ103" s="356"/>
      <c r="AR103" s="356"/>
      <c r="AT103" s="357"/>
      <c r="AU103" s="356"/>
      <c r="AV103" s="356"/>
    </row>
    <row r="104" spans="1:48" ht="18" customHeight="1" x14ac:dyDescent="0.25">
      <c r="A104" s="220"/>
      <c r="B104" s="205">
        <v>7</v>
      </c>
      <c r="C104" s="206">
        <v>2015</v>
      </c>
      <c r="D104" s="248">
        <v>115.9</v>
      </c>
      <c r="E104" s="249">
        <v>115.5</v>
      </c>
      <c r="F104" s="250">
        <v>117.2</v>
      </c>
      <c r="G104" s="251">
        <v>116.3</v>
      </c>
      <c r="H104" s="248">
        <v>116.8</v>
      </c>
      <c r="I104" s="252">
        <v>115.7</v>
      </c>
      <c r="J104" s="253">
        <v>116.2</v>
      </c>
      <c r="K104" s="250">
        <v>116</v>
      </c>
      <c r="L104" s="248">
        <v>115.4</v>
      </c>
      <c r="M104" s="252">
        <v>117.8</v>
      </c>
      <c r="N104" s="254">
        <v>116.1</v>
      </c>
      <c r="O104" s="255">
        <v>116</v>
      </c>
      <c r="P104" s="248">
        <v>114.5</v>
      </c>
      <c r="Q104" s="255">
        <v>115.6</v>
      </c>
      <c r="R104" s="223"/>
      <c r="S104" s="306">
        <v>100.7</v>
      </c>
      <c r="T104" s="307">
        <v>105.4</v>
      </c>
      <c r="U104" s="308">
        <v>101.3</v>
      </c>
      <c r="V104" s="284">
        <v>87.3</v>
      </c>
      <c r="W104" s="309">
        <v>116.1</v>
      </c>
      <c r="X104" s="307">
        <v>117.2</v>
      </c>
      <c r="Y104" s="308">
        <v>107.8</v>
      </c>
      <c r="Z104" s="311">
        <v>108</v>
      </c>
      <c r="AA104" s="250">
        <v>114.4</v>
      </c>
      <c r="AB104" s="220"/>
      <c r="AC104" s="235" t="s">
        <v>77</v>
      </c>
      <c r="AE104" s="355"/>
      <c r="AF104" s="356"/>
      <c r="AH104" s="356"/>
      <c r="AJ104" s="356"/>
      <c r="AL104" s="357"/>
      <c r="AM104" s="356"/>
      <c r="AN104" s="356"/>
      <c r="AP104" s="357"/>
      <c r="AQ104" s="356"/>
      <c r="AR104" s="356"/>
      <c r="AT104" s="357"/>
      <c r="AU104" s="356"/>
      <c r="AV104" s="356"/>
    </row>
    <row r="105" spans="1:48" ht="18" customHeight="1" x14ac:dyDescent="0.25">
      <c r="A105" s="220"/>
      <c r="B105" s="205">
        <v>8</v>
      </c>
      <c r="C105" s="206">
        <v>2015</v>
      </c>
      <c r="D105" s="248">
        <v>115.9</v>
      </c>
      <c r="E105" s="249">
        <v>115.6</v>
      </c>
      <c r="F105" s="250">
        <v>117.3</v>
      </c>
      <c r="G105" s="251">
        <v>116.3</v>
      </c>
      <c r="H105" s="248">
        <v>116.9</v>
      </c>
      <c r="I105" s="252">
        <v>115.5</v>
      </c>
      <c r="J105" s="253">
        <v>116.3</v>
      </c>
      <c r="K105" s="250">
        <v>115.9</v>
      </c>
      <c r="L105" s="248">
        <v>115.6</v>
      </c>
      <c r="M105" s="252">
        <v>117.8</v>
      </c>
      <c r="N105" s="254">
        <v>116.2</v>
      </c>
      <c r="O105" s="255">
        <v>116</v>
      </c>
      <c r="P105" s="248">
        <v>114.6</v>
      </c>
      <c r="Q105" s="255">
        <v>115.7</v>
      </c>
      <c r="R105" s="223"/>
      <c r="S105" s="306">
        <v>101.1</v>
      </c>
      <c r="T105" s="307">
        <v>106</v>
      </c>
      <c r="U105" s="308">
        <v>101.2</v>
      </c>
      <c r="V105" s="284">
        <v>81.8</v>
      </c>
      <c r="W105" s="309">
        <v>116.3</v>
      </c>
      <c r="X105" s="307">
        <v>117.8</v>
      </c>
      <c r="Y105" s="308">
        <v>108.1</v>
      </c>
      <c r="Z105" s="311">
        <v>101</v>
      </c>
      <c r="AA105" s="250">
        <v>106.8</v>
      </c>
      <c r="AB105" s="220"/>
      <c r="AC105" s="235" t="s">
        <v>77</v>
      </c>
      <c r="AE105" s="355"/>
      <c r="AF105" s="356"/>
      <c r="AH105" s="356"/>
      <c r="AJ105" s="356"/>
      <c r="AL105" s="357"/>
      <c r="AM105" s="356"/>
      <c r="AN105" s="356"/>
      <c r="AP105" s="357"/>
      <c r="AQ105" s="356"/>
      <c r="AR105" s="356"/>
      <c r="AT105" s="357"/>
      <c r="AU105" s="356"/>
      <c r="AV105" s="356"/>
    </row>
    <row r="106" spans="1:48" ht="18" customHeight="1" x14ac:dyDescent="0.25">
      <c r="A106" s="220"/>
      <c r="B106" s="205">
        <v>9</v>
      </c>
      <c r="C106" s="206">
        <v>2015</v>
      </c>
      <c r="D106" s="248">
        <v>116.4</v>
      </c>
      <c r="E106" s="249">
        <v>115.7</v>
      </c>
      <c r="F106" s="250">
        <v>117.3</v>
      </c>
      <c r="G106" s="251">
        <v>116.4</v>
      </c>
      <c r="H106" s="248">
        <v>116.8</v>
      </c>
      <c r="I106" s="252">
        <v>115.3</v>
      </c>
      <c r="J106" s="253">
        <v>116.2</v>
      </c>
      <c r="K106" s="250">
        <v>115.9</v>
      </c>
      <c r="L106" s="248">
        <v>115.3</v>
      </c>
      <c r="M106" s="252">
        <v>117.8</v>
      </c>
      <c r="N106" s="254">
        <v>116.3</v>
      </c>
      <c r="O106" s="255">
        <v>115.8</v>
      </c>
      <c r="P106" s="248">
        <v>114.4</v>
      </c>
      <c r="Q106" s="255">
        <v>115.9</v>
      </c>
      <c r="R106" s="223"/>
      <c r="S106" s="306">
        <v>100.6</v>
      </c>
      <c r="T106" s="307">
        <v>105.7</v>
      </c>
      <c r="U106" s="308">
        <v>98.1</v>
      </c>
      <c r="V106" s="284">
        <v>78.8</v>
      </c>
      <c r="W106" s="309">
        <v>117.4</v>
      </c>
      <c r="X106" s="307">
        <v>118.3</v>
      </c>
      <c r="Y106" s="308">
        <v>108.9</v>
      </c>
      <c r="Z106" s="311">
        <v>96</v>
      </c>
      <c r="AA106" s="250">
        <v>101.4</v>
      </c>
      <c r="AB106" s="220"/>
      <c r="AC106" s="235" t="s">
        <v>77</v>
      </c>
      <c r="AE106" s="355"/>
      <c r="AF106" s="356"/>
      <c r="AH106" s="356"/>
      <c r="AJ106" s="356"/>
      <c r="AL106" s="357"/>
      <c r="AM106" s="356"/>
      <c r="AN106" s="356"/>
      <c r="AP106" s="357"/>
      <c r="AQ106" s="356"/>
      <c r="AR106" s="356"/>
      <c r="AT106" s="357"/>
      <c r="AU106" s="356"/>
      <c r="AV106" s="356"/>
    </row>
    <row r="107" spans="1:48" ht="18" customHeight="1" x14ac:dyDescent="0.25">
      <c r="A107" s="220"/>
      <c r="B107" s="205">
        <v>10</v>
      </c>
      <c r="C107" s="206">
        <v>2015</v>
      </c>
      <c r="D107" s="248">
        <v>116.8</v>
      </c>
      <c r="E107" s="249">
        <v>116</v>
      </c>
      <c r="F107" s="250">
        <v>117.5</v>
      </c>
      <c r="G107" s="251">
        <v>116.6</v>
      </c>
      <c r="H107" s="248">
        <v>116.9</v>
      </c>
      <c r="I107" s="252">
        <v>115.6</v>
      </c>
      <c r="J107" s="253">
        <v>116.4</v>
      </c>
      <c r="K107" s="250">
        <v>116.1</v>
      </c>
      <c r="L107" s="248">
        <v>115.4</v>
      </c>
      <c r="M107" s="252">
        <v>118</v>
      </c>
      <c r="N107" s="254">
        <v>116.7</v>
      </c>
      <c r="O107" s="255">
        <v>116</v>
      </c>
      <c r="P107" s="248">
        <v>114.4</v>
      </c>
      <c r="Q107" s="255">
        <v>116</v>
      </c>
      <c r="R107" s="223"/>
      <c r="S107" s="306">
        <v>100.9</v>
      </c>
      <c r="T107" s="307">
        <v>105.7</v>
      </c>
      <c r="U107" s="308">
        <v>95.6</v>
      </c>
      <c r="V107" s="284">
        <v>82.8</v>
      </c>
      <c r="W107" s="309">
        <v>119.3</v>
      </c>
      <c r="X107" s="307">
        <v>119.5</v>
      </c>
      <c r="Y107" s="308">
        <v>109.7</v>
      </c>
      <c r="Z107" s="311">
        <v>101.5</v>
      </c>
      <c r="AA107" s="250">
        <v>106.7</v>
      </c>
      <c r="AB107" s="220"/>
      <c r="AC107" s="235" t="s">
        <v>77</v>
      </c>
      <c r="AE107" s="355"/>
      <c r="AF107" s="356"/>
      <c r="AH107" s="356"/>
      <c r="AJ107" s="356"/>
      <c r="AL107" s="357"/>
      <c r="AM107" s="356"/>
      <c r="AN107" s="356"/>
      <c r="AP107" s="357"/>
      <c r="AQ107" s="356"/>
      <c r="AR107" s="356"/>
      <c r="AT107" s="357"/>
      <c r="AU107" s="356"/>
      <c r="AV107" s="356"/>
    </row>
    <row r="108" spans="1:48" ht="18" customHeight="1" x14ac:dyDescent="0.25">
      <c r="A108" s="220"/>
      <c r="B108" s="205">
        <v>11</v>
      </c>
      <c r="C108" s="206">
        <v>2015</v>
      </c>
      <c r="D108" s="248">
        <v>117</v>
      </c>
      <c r="E108" s="249">
        <v>116.1</v>
      </c>
      <c r="F108" s="250">
        <v>117.4</v>
      </c>
      <c r="G108" s="251">
        <v>116.6</v>
      </c>
      <c r="H108" s="248">
        <v>117.1</v>
      </c>
      <c r="I108" s="252">
        <v>115.4</v>
      </c>
      <c r="J108" s="253">
        <v>116.5</v>
      </c>
      <c r="K108" s="250">
        <v>116</v>
      </c>
      <c r="L108" s="248">
        <v>115.6</v>
      </c>
      <c r="M108" s="252">
        <v>118</v>
      </c>
      <c r="N108" s="254">
        <v>116.8</v>
      </c>
      <c r="O108" s="255">
        <v>116.1</v>
      </c>
      <c r="P108" s="248">
        <v>114.8</v>
      </c>
      <c r="Q108" s="255">
        <v>116.2</v>
      </c>
      <c r="R108" s="223"/>
      <c r="S108" s="306">
        <v>100.9</v>
      </c>
      <c r="T108" s="307">
        <v>105.6</v>
      </c>
      <c r="U108" s="308">
        <v>95.9</v>
      </c>
      <c r="V108" s="284">
        <v>82.1</v>
      </c>
      <c r="W108" s="309">
        <v>119.4</v>
      </c>
      <c r="X108" s="307">
        <v>120.2</v>
      </c>
      <c r="Y108" s="308">
        <v>110.1</v>
      </c>
      <c r="Z108" s="311">
        <v>100.6</v>
      </c>
      <c r="AA108" s="250">
        <v>105.8</v>
      </c>
      <c r="AB108" s="220"/>
      <c r="AC108" s="235" t="s">
        <v>77</v>
      </c>
      <c r="AE108" s="355"/>
      <c r="AF108" s="356"/>
      <c r="AH108" s="356"/>
      <c r="AJ108" s="356"/>
      <c r="AL108" s="357"/>
      <c r="AM108" s="356"/>
      <c r="AN108" s="356"/>
      <c r="AP108" s="357"/>
      <c r="AQ108" s="356"/>
      <c r="AR108" s="356"/>
      <c r="AT108" s="357"/>
      <c r="AU108" s="356"/>
      <c r="AV108" s="356"/>
    </row>
    <row r="109" spans="1:48" ht="18" customHeight="1" x14ac:dyDescent="0.25">
      <c r="A109" s="220"/>
      <c r="B109" s="207">
        <v>12</v>
      </c>
      <c r="C109" s="208">
        <v>2015</v>
      </c>
      <c r="D109" s="256">
        <v>117.4</v>
      </c>
      <c r="E109" s="257">
        <v>116.3</v>
      </c>
      <c r="F109" s="258">
        <v>117.7</v>
      </c>
      <c r="G109" s="259">
        <v>117.2</v>
      </c>
      <c r="H109" s="256">
        <v>117.7</v>
      </c>
      <c r="I109" s="260">
        <v>115.7</v>
      </c>
      <c r="J109" s="261">
        <v>117</v>
      </c>
      <c r="K109" s="258">
        <v>116.3</v>
      </c>
      <c r="L109" s="256">
        <v>116.1</v>
      </c>
      <c r="M109" s="260">
        <v>118.4</v>
      </c>
      <c r="N109" s="262">
        <v>117.2</v>
      </c>
      <c r="O109" s="263">
        <v>116.4</v>
      </c>
      <c r="P109" s="256">
        <v>115.1</v>
      </c>
      <c r="Q109" s="263">
        <v>116.7</v>
      </c>
      <c r="R109" s="223"/>
      <c r="S109" s="312">
        <v>100.6</v>
      </c>
      <c r="T109" s="313">
        <v>106</v>
      </c>
      <c r="U109" s="314">
        <v>97.6</v>
      </c>
      <c r="V109" s="294">
        <v>81.900000000000006</v>
      </c>
      <c r="W109" s="315">
        <v>119.4</v>
      </c>
      <c r="X109" s="313">
        <v>120.3</v>
      </c>
      <c r="Y109" s="314">
        <v>110.2</v>
      </c>
      <c r="Z109" s="317">
        <v>100.4</v>
      </c>
      <c r="AA109" s="258">
        <v>105.4</v>
      </c>
      <c r="AB109" s="220"/>
      <c r="AC109" s="235" t="s">
        <v>77</v>
      </c>
      <c r="AE109" s="355"/>
      <c r="AF109" s="356"/>
      <c r="AH109" s="356"/>
      <c r="AJ109" s="356"/>
      <c r="AL109" s="357"/>
      <c r="AM109" s="356"/>
      <c r="AN109" s="356"/>
      <c r="AP109" s="357"/>
      <c r="AQ109" s="356"/>
      <c r="AR109" s="356"/>
      <c r="AT109" s="357"/>
      <c r="AU109" s="356"/>
      <c r="AV109" s="356"/>
    </row>
    <row r="110" spans="1:48" ht="18" customHeight="1" x14ac:dyDescent="0.25">
      <c r="A110" s="220"/>
      <c r="B110" s="203">
        <v>1</v>
      </c>
      <c r="C110" s="204">
        <v>2016</v>
      </c>
      <c r="D110" s="264">
        <v>118.1</v>
      </c>
      <c r="E110" s="265">
        <v>117.2</v>
      </c>
      <c r="F110" s="266">
        <v>118.4</v>
      </c>
      <c r="G110" s="267">
        <v>117.7</v>
      </c>
      <c r="H110" s="264">
        <v>119.1</v>
      </c>
      <c r="I110" s="268">
        <v>116.1</v>
      </c>
      <c r="J110" s="269">
        <v>117.7</v>
      </c>
      <c r="K110" s="266">
        <v>117</v>
      </c>
      <c r="L110" s="264">
        <v>117</v>
      </c>
      <c r="M110" s="268">
        <v>119.3</v>
      </c>
      <c r="N110" s="270">
        <v>118.1</v>
      </c>
      <c r="O110" s="271">
        <v>117.5</v>
      </c>
      <c r="P110" s="264">
        <v>116.5</v>
      </c>
      <c r="Q110" s="271">
        <v>117.6</v>
      </c>
      <c r="R110" s="223"/>
      <c r="S110" s="299">
        <v>103.4</v>
      </c>
      <c r="T110" s="300">
        <v>108.3</v>
      </c>
      <c r="U110" s="301">
        <v>96.8</v>
      </c>
      <c r="V110" s="302">
        <v>75.8</v>
      </c>
      <c r="W110" s="303">
        <v>125.4</v>
      </c>
      <c r="X110" s="300">
        <v>124.3</v>
      </c>
      <c r="Y110" s="301">
        <v>113.5</v>
      </c>
      <c r="Z110" s="305">
        <v>93.4</v>
      </c>
      <c r="AA110" s="266">
        <v>97.8</v>
      </c>
      <c r="AB110" s="220"/>
      <c r="AC110" s="235" t="s">
        <v>77</v>
      </c>
      <c r="AE110" s="355"/>
      <c r="AF110" s="356"/>
      <c r="AH110" s="356"/>
      <c r="AJ110" s="356"/>
      <c r="AL110" s="357"/>
      <c r="AM110" s="356"/>
      <c r="AN110" s="356"/>
      <c r="AP110" s="357"/>
      <c r="AQ110" s="356"/>
      <c r="AR110" s="356"/>
      <c r="AT110" s="357"/>
      <c r="AU110" s="356"/>
      <c r="AV110" s="356"/>
    </row>
    <row r="111" spans="1:48" ht="18" customHeight="1" x14ac:dyDescent="0.25">
      <c r="A111" s="220"/>
      <c r="B111" s="205">
        <v>2</v>
      </c>
      <c r="C111" s="206">
        <v>2016</v>
      </c>
      <c r="D111" s="248">
        <v>119.4</v>
      </c>
      <c r="E111" s="249">
        <v>119.1</v>
      </c>
      <c r="F111" s="250">
        <v>120.3</v>
      </c>
      <c r="G111" s="251">
        <v>118.9</v>
      </c>
      <c r="H111" s="248">
        <v>120.7</v>
      </c>
      <c r="I111" s="252">
        <v>117.6</v>
      </c>
      <c r="J111" s="253">
        <v>119.7</v>
      </c>
      <c r="K111" s="250">
        <v>118.6</v>
      </c>
      <c r="L111" s="248">
        <v>118.4</v>
      </c>
      <c r="M111" s="252">
        <v>120.9</v>
      </c>
      <c r="N111" s="254">
        <v>119.9</v>
      </c>
      <c r="O111" s="255">
        <v>119</v>
      </c>
      <c r="P111" s="248">
        <v>118.2</v>
      </c>
      <c r="Q111" s="255">
        <v>119</v>
      </c>
      <c r="R111" s="223"/>
      <c r="S111" s="306">
        <v>105.6</v>
      </c>
      <c r="T111" s="307">
        <v>111.4</v>
      </c>
      <c r="U111" s="308">
        <v>97.2</v>
      </c>
      <c r="V111" s="284">
        <v>71</v>
      </c>
      <c r="W111" s="309">
        <v>125.9</v>
      </c>
      <c r="X111" s="307">
        <v>123.9</v>
      </c>
      <c r="Y111" s="308">
        <v>114.1</v>
      </c>
      <c r="Z111" s="311">
        <v>87.6</v>
      </c>
      <c r="AA111" s="250">
        <v>91.5</v>
      </c>
      <c r="AB111" s="220"/>
      <c r="AC111" s="235" t="s">
        <v>77</v>
      </c>
      <c r="AE111" s="355"/>
      <c r="AF111" s="356"/>
      <c r="AH111" s="356"/>
      <c r="AJ111" s="356"/>
      <c r="AL111" s="357"/>
      <c r="AM111" s="356"/>
      <c r="AN111" s="356"/>
      <c r="AP111" s="357"/>
      <c r="AQ111" s="356"/>
      <c r="AR111" s="356"/>
      <c r="AT111" s="357"/>
      <c r="AU111" s="356"/>
      <c r="AV111" s="356"/>
    </row>
    <row r="112" spans="1:48" ht="18" customHeight="1" x14ac:dyDescent="0.25">
      <c r="A112" s="220"/>
      <c r="B112" s="205">
        <v>3</v>
      </c>
      <c r="C112" s="206">
        <v>2016</v>
      </c>
      <c r="D112" s="248">
        <f>'Table A Indices 2012=100'!D114</f>
        <v>120.4</v>
      </c>
      <c r="E112" s="249">
        <f>'Table A Indices 2012=100'!E114</f>
        <v>120.1</v>
      </c>
      <c r="F112" s="250">
        <f>'Table A Indices 2012=100'!F114</f>
        <v>121.2</v>
      </c>
      <c r="G112" s="251">
        <f>'Table A Indices 2012=100'!G114</f>
        <v>119.7</v>
      </c>
      <c r="H112" s="248">
        <f>'Table A Indices 2012=100'!H114</f>
        <v>121.7</v>
      </c>
      <c r="I112" s="252">
        <f>'Table A Indices 2012=100'!I114</f>
        <v>118.5</v>
      </c>
      <c r="J112" s="253">
        <f>'Table A Indices 2012=100'!J114</f>
        <v>120.5</v>
      </c>
      <c r="K112" s="250">
        <f>'Table A Indices 2012=100'!K114</f>
        <v>119.5</v>
      </c>
      <c r="L112" s="248">
        <f>'Table A Indices 2012=100'!L114</f>
        <v>119</v>
      </c>
      <c r="M112" s="252">
        <f>'Table A Indices 2012=100'!M114</f>
        <v>121.6</v>
      </c>
      <c r="N112" s="254">
        <f>'Table A Indices 2012=100'!N114</f>
        <v>120.8</v>
      </c>
      <c r="O112" s="255">
        <f>'Table A Indices 2012=100'!O114</f>
        <v>119.8</v>
      </c>
      <c r="P112" s="248">
        <f>'Table A Indices 2012=100'!P114</f>
        <v>119</v>
      </c>
      <c r="Q112" s="255">
        <f>'Table A Indices 2012=100'!Q114</f>
        <v>120.1</v>
      </c>
      <c r="R112" s="223"/>
      <c r="S112" s="306">
        <f>'Table A Indices 2012=100'!S114</f>
        <v>105.8</v>
      </c>
      <c r="T112" s="307">
        <f>'Table A Indices 2012=100'!T114</f>
        <v>109.9</v>
      </c>
      <c r="U112" s="308">
        <f>'Table A Indices 2012=100'!U114</f>
        <v>95.6</v>
      </c>
      <c r="V112" s="381" t="s">
        <v>105</v>
      </c>
      <c r="W112" s="309">
        <f>'Table A Indices 2012=100'!W114</f>
        <v>127.2</v>
      </c>
      <c r="X112" s="307">
        <f>'Table A Indices 2012=100'!X114</f>
        <v>125.2</v>
      </c>
      <c r="Y112" s="308">
        <f>'Table A Indices 2012=100'!Y114</f>
        <v>115.3</v>
      </c>
      <c r="Z112" s="382" t="s">
        <v>105</v>
      </c>
      <c r="AA112" s="383" t="s">
        <v>105</v>
      </c>
      <c r="AB112" s="220"/>
      <c r="AC112" s="235" t="s">
        <v>77</v>
      </c>
      <c r="AE112" s="355"/>
      <c r="AF112" s="356"/>
      <c r="AH112" s="356"/>
      <c r="AJ112" s="356"/>
      <c r="AL112" s="357"/>
      <c r="AM112" s="356"/>
      <c r="AN112" s="356"/>
      <c r="AP112" s="357"/>
      <c r="AQ112" s="356"/>
      <c r="AR112" s="356"/>
      <c r="AT112" s="357"/>
      <c r="AU112" s="356"/>
      <c r="AV112" s="356"/>
    </row>
    <row r="113" spans="1:48" ht="15" x14ac:dyDescent="0.25">
      <c r="A113" s="220"/>
      <c r="B113" s="205"/>
      <c r="C113" s="206"/>
      <c r="D113" s="248"/>
      <c r="E113" s="249"/>
      <c r="F113" s="250"/>
      <c r="G113" s="251"/>
      <c r="H113" s="248"/>
      <c r="I113" s="252"/>
      <c r="J113" s="253"/>
      <c r="K113" s="250"/>
      <c r="L113" s="248"/>
      <c r="M113" s="252"/>
      <c r="N113" s="254"/>
      <c r="O113" s="255"/>
      <c r="P113" s="248"/>
      <c r="Q113" s="255"/>
      <c r="R113" s="223"/>
      <c r="S113" s="306"/>
      <c r="T113" s="307"/>
      <c r="U113" s="308"/>
      <c r="V113" s="284"/>
      <c r="W113" s="309"/>
      <c r="X113" s="307"/>
      <c r="Y113" s="308"/>
      <c r="Z113" s="311"/>
      <c r="AA113" s="250"/>
      <c r="AB113" s="220"/>
      <c r="AC113" s="235"/>
    </row>
    <row r="114" spans="1:48" ht="18" customHeight="1" x14ac:dyDescent="0.25">
      <c r="A114" s="220"/>
      <c r="B114" s="205"/>
      <c r="C114" s="206"/>
      <c r="D114" s="913" t="s">
        <v>107</v>
      </c>
      <c r="E114" s="914"/>
      <c r="F114" s="914"/>
      <c r="G114" s="914"/>
      <c r="H114" s="914"/>
      <c r="I114" s="914"/>
      <c r="J114" s="914"/>
      <c r="K114" s="914"/>
      <c r="L114" s="914"/>
      <c r="M114" s="914"/>
      <c r="N114" s="914"/>
      <c r="O114" s="914"/>
      <c r="P114" s="914"/>
      <c r="Q114" s="915"/>
      <c r="R114" s="223"/>
      <c r="S114" s="913" t="s">
        <v>107</v>
      </c>
      <c r="T114" s="914"/>
      <c r="U114" s="914"/>
      <c r="V114" s="914"/>
      <c r="W114" s="914"/>
      <c r="X114" s="914"/>
      <c r="Y114" s="914"/>
      <c r="Z114" s="914"/>
      <c r="AA114" s="915"/>
      <c r="AB114" s="220"/>
      <c r="AC114" s="235"/>
      <c r="AL114" s="357">
        <v>41671</v>
      </c>
      <c r="AM114" s="354" t="e">
        <f>AM88/$AM$87-1</f>
        <v>#DIV/0!</v>
      </c>
      <c r="AN114" s="354" t="e">
        <f>AN88/$AN$87-1</f>
        <v>#DIV/0!</v>
      </c>
      <c r="AQ114" s="354"/>
    </row>
    <row r="115" spans="1:48" ht="10.5" customHeight="1" x14ac:dyDescent="0.25">
      <c r="A115" s="220"/>
      <c r="B115" s="207"/>
      <c r="C115" s="208"/>
      <c r="D115" s="256"/>
      <c r="E115" s="257"/>
      <c r="F115" s="258"/>
      <c r="G115" s="259"/>
      <c r="H115" s="256"/>
      <c r="I115" s="260"/>
      <c r="J115" s="261"/>
      <c r="K115" s="258"/>
      <c r="L115" s="256"/>
      <c r="M115" s="260"/>
      <c r="N115" s="262"/>
      <c r="O115" s="263"/>
      <c r="P115" s="256"/>
      <c r="Q115" s="263"/>
      <c r="R115" s="223"/>
      <c r="S115" s="312"/>
      <c r="T115" s="313"/>
      <c r="U115" s="314"/>
      <c r="V115" s="294"/>
      <c r="W115" s="315"/>
      <c r="X115" s="313"/>
      <c r="Y115" s="314"/>
      <c r="Z115" s="317"/>
      <c r="AA115" s="258"/>
      <c r="AB115" s="220"/>
      <c r="AC115" s="235"/>
      <c r="AL115" s="357">
        <v>41883</v>
      </c>
      <c r="AM115" s="354" t="e">
        <f t="shared" ref="AM115:AM131" si="0">AM95/$AM$87-1</f>
        <v>#DIV/0!</v>
      </c>
      <c r="AN115" s="354" t="e">
        <f t="shared" ref="AN115:AN131" si="1">AN95/$AN$87-1</f>
        <v>#DIV/0!</v>
      </c>
      <c r="AQ115" s="354" t="e">
        <f t="shared" ref="AQ115:AQ131" si="2">AQ95/$AQ$88-1</f>
        <v>#DIV/0!</v>
      </c>
      <c r="AR115" s="354" t="e">
        <f t="shared" ref="AR115:AR131" si="3">AR95/$AR$88-1</f>
        <v>#DIV/0!</v>
      </c>
      <c r="AU115" s="354" t="e">
        <f t="shared" ref="AU115:AU131" si="4">AU95/$AU$88-1</f>
        <v>#DIV/0!</v>
      </c>
      <c r="AV115" s="354" t="e">
        <f t="shared" ref="AV115:AV131" si="5">AV95/$AV$88-1</f>
        <v>#DIV/0!</v>
      </c>
    </row>
    <row r="116" spans="1:48" ht="10.5" customHeight="1" x14ac:dyDescent="0.25">
      <c r="A116" s="237"/>
      <c r="B116" s="238"/>
      <c r="C116" s="238"/>
      <c r="D116" s="238"/>
      <c r="E116" s="238"/>
      <c r="F116" s="238"/>
      <c r="G116" s="238"/>
      <c r="H116" s="238"/>
      <c r="I116" s="238"/>
      <c r="J116" s="238"/>
      <c r="K116" s="238"/>
      <c r="L116" s="238"/>
      <c r="M116" s="238"/>
      <c r="N116" s="238"/>
      <c r="O116" s="238"/>
      <c r="P116" s="238"/>
      <c r="Q116" s="238"/>
      <c r="R116" s="238"/>
      <c r="S116" s="238"/>
      <c r="T116" s="238"/>
      <c r="U116" s="238"/>
      <c r="V116" s="238"/>
      <c r="W116" s="238"/>
      <c r="X116" s="238"/>
      <c r="Y116" s="238"/>
      <c r="Z116" s="238"/>
      <c r="AA116" s="238"/>
      <c r="AB116" s="239"/>
      <c r="AC116" s="235"/>
      <c r="AL116" s="357">
        <v>41913</v>
      </c>
      <c r="AM116" s="354" t="e">
        <f t="shared" si="0"/>
        <v>#DIV/0!</v>
      </c>
      <c r="AN116" s="354" t="e">
        <f t="shared" si="1"/>
        <v>#DIV/0!</v>
      </c>
      <c r="AQ116" s="354" t="e">
        <f t="shared" si="2"/>
        <v>#DIV/0!</v>
      </c>
      <c r="AR116" s="354" t="e">
        <f t="shared" si="3"/>
        <v>#DIV/0!</v>
      </c>
      <c r="AU116" s="354" t="e">
        <f t="shared" si="4"/>
        <v>#DIV/0!</v>
      </c>
      <c r="AV116" s="354" t="e">
        <f t="shared" si="5"/>
        <v>#DIV/0!</v>
      </c>
    </row>
    <row r="117" spans="1:48" ht="10.5" hidden="1" customHeight="1" thickBot="1" x14ac:dyDescent="0.3">
      <c r="A117" s="220"/>
      <c r="B117" s="224"/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  <c r="AB117" s="224"/>
      <c r="AL117" s="357">
        <v>41944</v>
      </c>
      <c r="AM117" s="354" t="e">
        <f t="shared" si="0"/>
        <v>#DIV/0!</v>
      </c>
      <c r="AN117" s="354" t="e">
        <f t="shared" si="1"/>
        <v>#DIV/0!</v>
      </c>
      <c r="AQ117" s="354" t="e">
        <f t="shared" si="2"/>
        <v>#DIV/0!</v>
      </c>
      <c r="AR117" s="354" t="e">
        <f t="shared" si="3"/>
        <v>#DIV/0!</v>
      </c>
      <c r="AU117" s="354" t="e">
        <f t="shared" si="4"/>
        <v>#DIV/0!</v>
      </c>
      <c r="AV117" s="354" t="e">
        <f t="shared" si="5"/>
        <v>#DIV/0!</v>
      </c>
    </row>
    <row r="118" spans="1:48" s="199" customFormat="1" ht="10.5" hidden="1" customHeight="1" thickBot="1" x14ac:dyDescent="0.3">
      <c r="A118" s="225"/>
      <c r="B118" s="225"/>
      <c r="C118" s="225"/>
      <c r="D118" s="189">
        <v>0.79176563740000006</v>
      </c>
      <c r="E118" s="189">
        <v>0.78616352199999995</v>
      </c>
      <c r="F118" s="189">
        <v>0.78802206460000002</v>
      </c>
      <c r="G118" s="189">
        <v>0.77519379840000002</v>
      </c>
      <c r="H118" s="189">
        <v>0.77579519009999998</v>
      </c>
      <c r="I118" s="189">
        <v>0.8006405124</v>
      </c>
      <c r="J118" s="189">
        <v>0.78554595439999997</v>
      </c>
      <c r="K118" s="189">
        <v>0.79491255959999996</v>
      </c>
      <c r="L118" s="189">
        <v>0.77279752700000004</v>
      </c>
      <c r="M118" s="189">
        <v>0.78864353310000002</v>
      </c>
      <c r="N118" s="189">
        <v>0.80385852089999998</v>
      </c>
      <c r="O118" s="189">
        <v>0.78247261349999997</v>
      </c>
      <c r="P118" s="189">
        <v>0.78740157479999995</v>
      </c>
      <c r="Q118" s="189">
        <v>0.79744816590000001</v>
      </c>
      <c r="R118" s="219"/>
      <c r="S118" s="198">
        <v>2.2719999999999998</v>
      </c>
      <c r="T118" s="195">
        <v>2.89</v>
      </c>
      <c r="U118" s="200">
        <v>3.22</v>
      </c>
      <c r="V118" s="201">
        <v>4.149</v>
      </c>
      <c r="W118" s="198">
        <v>1.909</v>
      </c>
      <c r="X118" s="195">
        <v>2.1960000000000002</v>
      </c>
      <c r="Y118" s="200">
        <v>1.992</v>
      </c>
      <c r="Z118" s="198">
        <v>4.24</v>
      </c>
      <c r="AA118" s="202">
        <v>4.2050000000000001</v>
      </c>
      <c r="AB118" s="225"/>
      <c r="AL118" s="357">
        <v>41974</v>
      </c>
      <c r="AM118" s="354" t="e">
        <f t="shared" si="0"/>
        <v>#DIV/0!</v>
      </c>
      <c r="AN118" s="354" t="e">
        <f t="shared" si="1"/>
        <v>#DIV/0!</v>
      </c>
      <c r="AO118" s="180"/>
      <c r="AP118" s="180"/>
      <c r="AQ118" s="354" t="e">
        <f t="shared" si="2"/>
        <v>#DIV/0!</v>
      </c>
      <c r="AR118" s="354" t="e">
        <f t="shared" si="3"/>
        <v>#DIV/0!</v>
      </c>
      <c r="AS118" s="180"/>
      <c r="AT118" s="180"/>
      <c r="AU118" s="354" t="e">
        <f t="shared" si="4"/>
        <v>#DIV/0!</v>
      </c>
      <c r="AV118" s="354" t="e">
        <f t="shared" si="5"/>
        <v>#DIV/0!</v>
      </c>
    </row>
    <row r="119" spans="1:48" ht="15" hidden="1" customHeight="1" x14ac:dyDescent="0.25">
      <c r="A119" s="220"/>
      <c r="B119" s="220"/>
      <c r="C119" s="220"/>
      <c r="D119" s="220"/>
      <c r="E119" s="220"/>
      <c r="F119" s="220"/>
      <c r="G119" s="220"/>
      <c r="H119" s="220"/>
      <c r="I119" s="220"/>
      <c r="J119" s="220"/>
      <c r="K119" s="220"/>
      <c r="L119" s="220"/>
      <c r="M119" s="220"/>
      <c r="N119" s="220"/>
      <c r="O119" s="220"/>
      <c r="P119" s="220"/>
      <c r="Q119" s="220"/>
      <c r="R119" s="220"/>
      <c r="S119" s="220"/>
      <c r="T119" s="220"/>
      <c r="U119" s="220"/>
      <c r="V119" s="220"/>
      <c r="W119" s="220"/>
      <c r="X119" s="220"/>
      <c r="Y119" s="220"/>
      <c r="Z119" s="220"/>
      <c r="AA119" s="220"/>
      <c r="AB119" s="220"/>
      <c r="AL119" s="357">
        <v>42005</v>
      </c>
      <c r="AM119" s="354" t="e">
        <f t="shared" si="0"/>
        <v>#DIV/0!</v>
      </c>
      <c r="AN119" s="354" t="e">
        <f t="shared" si="1"/>
        <v>#DIV/0!</v>
      </c>
      <c r="AQ119" s="354" t="e">
        <f t="shared" si="2"/>
        <v>#DIV/0!</v>
      </c>
      <c r="AR119" s="354" t="e">
        <f t="shared" si="3"/>
        <v>#DIV/0!</v>
      </c>
      <c r="AU119" s="354" t="e">
        <f t="shared" si="4"/>
        <v>#DIV/0!</v>
      </c>
      <c r="AV119" s="354" t="e">
        <f t="shared" si="5"/>
        <v>#DIV/0!</v>
      </c>
    </row>
    <row r="120" spans="1:48" ht="15" hidden="1" customHeight="1" x14ac:dyDescent="0.25">
      <c r="AL120" s="357">
        <v>42036</v>
      </c>
      <c r="AM120" s="354" t="e">
        <f t="shared" si="0"/>
        <v>#DIV/0!</v>
      </c>
      <c r="AN120" s="354" t="e">
        <f t="shared" si="1"/>
        <v>#DIV/0!</v>
      </c>
      <c r="AQ120" s="354" t="e">
        <f t="shared" si="2"/>
        <v>#DIV/0!</v>
      </c>
      <c r="AR120" s="354" t="e">
        <f t="shared" si="3"/>
        <v>#DIV/0!</v>
      </c>
      <c r="AU120" s="354" t="e">
        <f t="shared" si="4"/>
        <v>#DIV/0!</v>
      </c>
      <c r="AV120" s="354" t="e">
        <f t="shared" si="5"/>
        <v>#DIV/0!</v>
      </c>
    </row>
    <row r="121" spans="1:48" ht="15" customHeight="1" x14ac:dyDescent="0.25">
      <c r="D121" s="354"/>
      <c r="E121" s="354"/>
      <c r="F121" s="354"/>
      <c r="G121" s="354"/>
      <c r="H121" s="354"/>
      <c r="I121" s="354"/>
      <c r="J121" s="354"/>
      <c r="K121" s="354"/>
      <c r="L121" s="354"/>
      <c r="M121" s="354"/>
      <c r="N121" s="354"/>
      <c r="O121" s="354"/>
      <c r="P121" s="354"/>
      <c r="Q121" s="354"/>
      <c r="S121" s="354"/>
      <c r="T121" s="354"/>
      <c r="U121" s="354"/>
      <c r="V121" s="354"/>
      <c r="W121" s="354"/>
      <c r="X121" s="354"/>
      <c r="Y121" s="354"/>
      <c r="Z121" s="354"/>
      <c r="AA121" s="354"/>
      <c r="AL121" s="357">
        <v>42064</v>
      </c>
      <c r="AM121" s="354" t="e">
        <f t="shared" si="0"/>
        <v>#DIV/0!</v>
      </c>
      <c r="AN121" s="354" t="e">
        <f t="shared" si="1"/>
        <v>#DIV/0!</v>
      </c>
      <c r="AQ121" s="354" t="e">
        <f t="shared" si="2"/>
        <v>#DIV/0!</v>
      </c>
      <c r="AR121" s="354" t="e">
        <f t="shared" si="3"/>
        <v>#DIV/0!</v>
      </c>
      <c r="AU121" s="354" t="e">
        <f t="shared" si="4"/>
        <v>#DIV/0!</v>
      </c>
      <c r="AV121" s="354" t="e">
        <f t="shared" si="5"/>
        <v>#DIV/0!</v>
      </c>
    </row>
    <row r="122" spans="1:48" ht="18" customHeight="1" x14ac:dyDescent="0.25">
      <c r="D122" s="354"/>
      <c r="E122" s="354"/>
      <c r="F122" s="354"/>
      <c r="G122" s="354"/>
      <c r="H122" s="354"/>
      <c r="I122" s="354"/>
      <c r="J122" s="354"/>
      <c r="K122" s="354"/>
      <c r="L122" s="354"/>
      <c r="M122" s="354"/>
      <c r="N122" s="354"/>
      <c r="O122" s="354"/>
      <c r="P122" s="354"/>
      <c r="Q122" s="354"/>
      <c r="S122" s="354"/>
      <c r="T122" s="354"/>
      <c r="U122" s="354"/>
      <c r="V122" s="354"/>
      <c r="W122" s="354"/>
      <c r="X122" s="354"/>
      <c r="Y122" s="354"/>
      <c r="Z122" s="354"/>
      <c r="AA122" s="354"/>
      <c r="AL122" s="357">
        <v>42095</v>
      </c>
      <c r="AM122" s="354" t="e">
        <f t="shared" si="0"/>
        <v>#DIV/0!</v>
      </c>
      <c r="AN122" s="354" t="e">
        <f t="shared" si="1"/>
        <v>#DIV/0!</v>
      </c>
      <c r="AQ122" s="354" t="e">
        <f t="shared" si="2"/>
        <v>#DIV/0!</v>
      </c>
      <c r="AR122" s="354" t="e">
        <f t="shared" si="3"/>
        <v>#DIV/0!</v>
      </c>
      <c r="AU122" s="354" t="e">
        <f t="shared" si="4"/>
        <v>#DIV/0!</v>
      </c>
      <c r="AV122" s="354" t="e">
        <f t="shared" si="5"/>
        <v>#DIV/0!</v>
      </c>
    </row>
    <row r="123" spans="1:48" ht="18" customHeight="1" x14ac:dyDescent="0.25">
      <c r="D123" s="354"/>
      <c r="E123" s="354"/>
      <c r="F123" s="354"/>
      <c r="G123" s="354"/>
      <c r="H123" s="354"/>
      <c r="I123" s="354"/>
      <c r="J123" s="354"/>
      <c r="K123" s="354"/>
      <c r="L123" s="354"/>
      <c r="M123" s="354"/>
      <c r="N123" s="354"/>
      <c r="O123" s="354"/>
      <c r="P123" s="354"/>
      <c r="Q123" s="354"/>
      <c r="S123" s="354"/>
      <c r="T123" s="354"/>
      <c r="U123" s="354"/>
      <c r="V123" s="354"/>
      <c r="W123" s="354"/>
      <c r="X123" s="354"/>
      <c r="Y123" s="354"/>
      <c r="Z123" s="354"/>
      <c r="AA123" s="354"/>
      <c r="AL123" s="357">
        <v>42125</v>
      </c>
      <c r="AM123" s="354" t="e">
        <f t="shared" si="0"/>
        <v>#DIV/0!</v>
      </c>
      <c r="AN123" s="354" t="e">
        <f t="shared" si="1"/>
        <v>#DIV/0!</v>
      </c>
      <c r="AQ123" s="354" t="e">
        <f t="shared" si="2"/>
        <v>#DIV/0!</v>
      </c>
      <c r="AR123" s="354" t="e">
        <f t="shared" si="3"/>
        <v>#DIV/0!</v>
      </c>
      <c r="AU123" s="354" t="e">
        <f t="shared" si="4"/>
        <v>#DIV/0!</v>
      </c>
      <c r="AV123" s="354" t="e">
        <f t="shared" si="5"/>
        <v>#DIV/0!</v>
      </c>
    </row>
    <row r="124" spans="1:48" ht="18" customHeight="1" x14ac:dyDescent="0.25">
      <c r="D124" s="354"/>
      <c r="E124" s="354"/>
      <c r="F124" s="354"/>
      <c r="G124" s="354"/>
      <c r="H124" s="354"/>
      <c r="I124" s="354"/>
      <c r="J124" s="354"/>
      <c r="K124" s="354"/>
      <c r="L124" s="354"/>
      <c r="M124" s="354"/>
      <c r="N124" s="354"/>
      <c r="O124" s="354"/>
      <c r="P124" s="354"/>
      <c r="Q124" s="354"/>
      <c r="S124" s="354"/>
      <c r="T124" s="354"/>
      <c r="U124" s="354"/>
      <c r="V124" s="354"/>
      <c r="W124" s="354"/>
      <c r="X124" s="354"/>
      <c r="Y124" s="354"/>
      <c r="Z124" s="354"/>
      <c r="AA124" s="354"/>
      <c r="AL124" s="357">
        <v>42156</v>
      </c>
      <c r="AM124" s="354" t="e">
        <f t="shared" si="0"/>
        <v>#DIV/0!</v>
      </c>
      <c r="AN124" s="354" t="e">
        <f t="shared" si="1"/>
        <v>#DIV/0!</v>
      </c>
      <c r="AQ124" s="354" t="e">
        <f t="shared" si="2"/>
        <v>#DIV/0!</v>
      </c>
      <c r="AR124" s="354" t="e">
        <f t="shared" si="3"/>
        <v>#DIV/0!</v>
      </c>
      <c r="AU124" s="354" t="e">
        <f t="shared" si="4"/>
        <v>#DIV/0!</v>
      </c>
      <c r="AV124" s="354" t="e">
        <f t="shared" si="5"/>
        <v>#DIV/0!</v>
      </c>
    </row>
    <row r="125" spans="1:48" ht="18" customHeight="1" x14ac:dyDescent="0.25">
      <c r="D125" s="354"/>
      <c r="E125" s="354"/>
      <c r="F125" s="354"/>
      <c r="G125" s="354"/>
      <c r="H125" s="354"/>
      <c r="I125" s="354"/>
      <c r="J125" s="354"/>
      <c r="K125" s="354"/>
      <c r="L125" s="354"/>
      <c r="M125" s="354"/>
      <c r="N125" s="354"/>
      <c r="O125" s="354"/>
      <c r="P125" s="354"/>
      <c r="Q125" s="354"/>
      <c r="S125" s="354"/>
      <c r="T125" s="354"/>
      <c r="U125" s="354"/>
      <c r="V125" s="354"/>
      <c r="W125" s="354"/>
      <c r="X125" s="354"/>
      <c r="Y125" s="354"/>
      <c r="Z125" s="354"/>
      <c r="AA125" s="354"/>
      <c r="AL125" s="357">
        <v>42186</v>
      </c>
      <c r="AM125" s="354" t="e">
        <f t="shared" si="0"/>
        <v>#DIV/0!</v>
      </c>
      <c r="AN125" s="354" t="e">
        <f t="shared" si="1"/>
        <v>#DIV/0!</v>
      </c>
      <c r="AQ125" s="354" t="e">
        <f t="shared" si="2"/>
        <v>#DIV/0!</v>
      </c>
      <c r="AR125" s="354" t="e">
        <f t="shared" si="3"/>
        <v>#DIV/0!</v>
      </c>
      <c r="AU125" s="354" t="e">
        <f t="shared" si="4"/>
        <v>#DIV/0!</v>
      </c>
      <c r="AV125" s="354" t="e">
        <f t="shared" si="5"/>
        <v>#DIV/0!</v>
      </c>
    </row>
    <row r="126" spans="1:48" ht="18" customHeight="1" x14ac:dyDescent="0.25">
      <c r="D126" s="354"/>
      <c r="E126" s="354"/>
      <c r="F126" s="354"/>
      <c r="G126" s="354"/>
      <c r="H126" s="354"/>
      <c r="I126" s="354"/>
      <c r="J126" s="354"/>
      <c r="K126" s="354"/>
      <c r="L126" s="354"/>
      <c r="M126" s="354"/>
      <c r="N126" s="354"/>
      <c r="O126" s="354"/>
      <c r="P126" s="354"/>
      <c r="Q126" s="354"/>
      <c r="S126" s="354"/>
      <c r="T126" s="354"/>
      <c r="U126" s="354"/>
      <c r="V126" s="354"/>
      <c r="W126" s="354"/>
      <c r="X126" s="354"/>
      <c r="Y126" s="354"/>
      <c r="Z126" s="354"/>
      <c r="AA126" s="354"/>
      <c r="AL126" s="357">
        <v>42217</v>
      </c>
      <c r="AM126" s="354" t="e">
        <f t="shared" si="0"/>
        <v>#DIV/0!</v>
      </c>
      <c r="AN126" s="354" t="e">
        <f t="shared" si="1"/>
        <v>#DIV/0!</v>
      </c>
      <c r="AQ126" s="354" t="e">
        <f t="shared" si="2"/>
        <v>#DIV/0!</v>
      </c>
      <c r="AR126" s="354" t="e">
        <f t="shared" si="3"/>
        <v>#DIV/0!</v>
      </c>
      <c r="AU126" s="354" t="e">
        <f t="shared" si="4"/>
        <v>#DIV/0!</v>
      </c>
      <c r="AV126" s="354" t="e">
        <f t="shared" si="5"/>
        <v>#DIV/0!</v>
      </c>
    </row>
    <row r="127" spans="1:48" ht="18" customHeight="1" x14ac:dyDescent="0.25">
      <c r="D127" s="354"/>
      <c r="E127" s="354"/>
      <c r="F127" s="354"/>
      <c r="G127" s="354"/>
      <c r="H127" s="354"/>
      <c r="I127" s="354"/>
      <c r="J127" s="354"/>
      <c r="K127" s="354"/>
      <c r="L127" s="354"/>
      <c r="M127" s="354"/>
      <c r="N127" s="354"/>
      <c r="O127" s="354"/>
      <c r="P127" s="354"/>
      <c r="Q127" s="354"/>
      <c r="S127" s="354"/>
      <c r="T127" s="354"/>
      <c r="U127" s="354"/>
      <c r="V127" s="354"/>
      <c r="W127" s="354"/>
      <c r="X127" s="354"/>
      <c r="Y127" s="354"/>
      <c r="Z127" s="354"/>
      <c r="AA127" s="354"/>
      <c r="AL127" s="357">
        <v>42248</v>
      </c>
      <c r="AM127" s="354" t="e">
        <f t="shared" si="0"/>
        <v>#DIV/0!</v>
      </c>
      <c r="AN127" s="354" t="e">
        <f t="shared" si="1"/>
        <v>#DIV/0!</v>
      </c>
      <c r="AQ127" s="354" t="e">
        <f t="shared" si="2"/>
        <v>#DIV/0!</v>
      </c>
      <c r="AR127" s="354" t="e">
        <f t="shared" si="3"/>
        <v>#DIV/0!</v>
      </c>
      <c r="AU127" s="354" t="e">
        <f t="shared" si="4"/>
        <v>#DIV/0!</v>
      </c>
      <c r="AV127" s="354" t="e">
        <f t="shared" si="5"/>
        <v>#DIV/0!</v>
      </c>
    </row>
    <row r="128" spans="1:48" ht="18" customHeight="1" x14ac:dyDescent="0.25">
      <c r="D128" s="354"/>
      <c r="E128" s="354"/>
      <c r="F128" s="354"/>
      <c r="G128" s="354"/>
      <c r="H128" s="354"/>
      <c r="I128" s="354"/>
      <c r="J128" s="354"/>
      <c r="K128" s="354"/>
      <c r="L128" s="354"/>
      <c r="M128" s="354"/>
      <c r="N128" s="354"/>
      <c r="O128" s="354"/>
      <c r="P128" s="354"/>
      <c r="Q128" s="354"/>
      <c r="S128" s="354"/>
      <c r="T128" s="354"/>
      <c r="U128" s="354"/>
      <c r="V128" s="354"/>
      <c r="W128" s="354"/>
      <c r="X128" s="354"/>
      <c r="Y128" s="354"/>
      <c r="Z128" s="354"/>
      <c r="AA128" s="354"/>
      <c r="AL128" s="357">
        <v>42278</v>
      </c>
      <c r="AM128" s="354" t="e">
        <f t="shared" si="0"/>
        <v>#DIV/0!</v>
      </c>
      <c r="AN128" s="354" t="e">
        <f t="shared" si="1"/>
        <v>#DIV/0!</v>
      </c>
      <c r="AQ128" s="354" t="e">
        <f t="shared" si="2"/>
        <v>#DIV/0!</v>
      </c>
      <c r="AR128" s="354" t="e">
        <f t="shared" si="3"/>
        <v>#DIV/0!</v>
      </c>
      <c r="AU128" s="354" t="e">
        <f t="shared" si="4"/>
        <v>#DIV/0!</v>
      </c>
      <c r="AV128" s="354" t="e">
        <f t="shared" si="5"/>
        <v>#DIV/0!</v>
      </c>
    </row>
    <row r="129" spans="4:48" ht="18" customHeight="1" x14ac:dyDescent="0.25">
      <c r="D129" s="354"/>
      <c r="E129" s="354"/>
      <c r="F129" s="354"/>
      <c r="G129" s="354"/>
      <c r="H129" s="354"/>
      <c r="I129" s="354"/>
      <c r="J129" s="354"/>
      <c r="K129" s="354"/>
      <c r="L129" s="354"/>
      <c r="M129" s="354"/>
      <c r="N129" s="354"/>
      <c r="O129" s="354"/>
      <c r="P129" s="354"/>
      <c r="Q129" s="354"/>
      <c r="S129" s="354"/>
      <c r="T129" s="354"/>
      <c r="U129" s="354"/>
      <c r="V129" s="354"/>
      <c r="W129" s="354"/>
      <c r="X129" s="354"/>
      <c r="Y129" s="354"/>
      <c r="Z129" s="354"/>
      <c r="AA129" s="354"/>
      <c r="AL129" s="357">
        <v>42309</v>
      </c>
      <c r="AM129" s="354" t="e">
        <f t="shared" si="0"/>
        <v>#DIV/0!</v>
      </c>
      <c r="AN129" s="354" t="e">
        <f t="shared" si="1"/>
        <v>#DIV/0!</v>
      </c>
      <c r="AQ129" s="354" t="e">
        <f t="shared" si="2"/>
        <v>#DIV/0!</v>
      </c>
      <c r="AR129" s="354" t="e">
        <f t="shared" si="3"/>
        <v>#DIV/0!</v>
      </c>
      <c r="AU129" s="354" t="e">
        <f t="shared" si="4"/>
        <v>#DIV/0!</v>
      </c>
      <c r="AV129" s="354" t="e">
        <f t="shared" si="5"/>
        <v>#DIV/0!</v>
      </c>
    </row>
    <row r="130" spans="4:48" ht="18" customHeight="1" x14ac:dyDescent="0.25">
      <c r="D130" s="354"/>
      <c r="E130" s="354"/>
      <c r="F130" s="354"/>
      <c r="G130" s="354"/>
      <c r="H130" s="354"/>
      <c r="I130" s="354"/>
      <c r="J130" s="354"/>
      <c r="K130" s="354"/>
      <c r="L130" s="354"/>
      <c r="M130" s="354"/>
      <c r="N130" s="354"/>
      <c r="O130" s="354"/>
      <c r="P130" s="354"/>
      <c r="Q130" s="354"/>
      <c r="AL130" s="357">
        <v>42339</v>
      </c>
      <c r="AM130" s="354" t="e">
        <f t="shared" si="0"/>
        <v>#DIV/0!</v>
      </c>
      <c r="AN130" s="354" t="e">
        <f t="shared" si="1"/>
        <v>#DIV/0!</v>
      </c>
      <c r="AQ130" s="354" t="e">
        <f t="shared" si="2"/>
        <v>#DIV/0!</v>
      </c>
      <c r="AR130" s="354" t="e">
        <f t="shared" si="3"/>
        <v>#DIV/0!</v>
      </c>
      <c r="AU130" s="354" t="e">
        <f t="shared" si="4"/>
        <v>#DIV/0!</v>
      </c>
      <c r="AV130" s="354" t="e">
        <f t="shared" si="5"/>
        <v>#DIV/0!</v>
      </c>
    </row>
    <row r="131" spans="4:48" ht="18" customHeight="1" x14ac:dyDescent="0.25">
      <c r="D131" s="354"/>
      <c r="E131" s="354"/>
      <c r="F131" s="354"/>
      <c r="G131" s="354"/>
      <c r="H131" s="354"/>
      <c r="I131" s="354"/>
      <c r="J131" s="354"/>
      <c r="K131" s="354"/>
      <c r="L131" s="354"/>
      <c r="M131" s="354"/>
      <c r="N131" s="354"/>
      <c r="O131" s="354"/>
      <c r="P131" s="354"/>
      <c r="Q131" s="354"/>
      <c r="AL131" s="357">
        <f>AL130+31</f>
        <v>42370</v>
      </c>
      <c r="AM131" s="354" t="e">
        <f t="shared" si="0"/>
        <v>#DIV/0!</v>
      </c>
      <c r="AN131" s="354" t="e">
        <f t="shared" si="1"/>
        <v>#DIV/0!</v>
      </c>
      <c r="AQ131" s="354" t="e">
        <f t="shared" si="2"/>
        <v>#DIV/0!</v>
      </c>
      <c r="AR131" s="354" t="e">
        <f t="shared" si="3"/>
        <v>#DIV/0!</v>
      </c>
      <c r="AU131" s="354" t="e">
        <f t="shared" si="4"/>
        <v>#DIV/0!</v>
      </c>
      <c r="AV131" s="354" t="e">
        <f t="shared" si="5"/>
        <v>#DIV/0!</v>
      </c>
    </row>
    <row r="132" spans="4:48" ht="18" customHeight="1" x14ac:dyDescent="0.25">
      <c r="D132" s="354"/>
      <c r="E132" s="354"/>
      <c r="F132" s="354"/>
      <c r="G132" s="354"/>
      <c r="H132" s="354"/>
      <c r="I132" s="354"/>
      <c r="J132" s="354"/>
      <c r="K132" s="354"/>
      <c r="L132" s="354"/>
      <c r="M132" s="354"/>
      <c r="N132" s="354"/>
      <c r="O132" s="354"/>
      <c r="P132" s="354"/>
      <c r="Q132" s="354"/>
      <c r="AL132" s="357">
        <f>AL131+31</f>
        <v>42401</v>
      </c>
      <c r="AM132" s="354"/>
      <c r="AN132" s="354"/>
      <c r="AQ132" s="354"/>
      <c r="AR132" s="354"/>
      <c r="AU132" s="354"/>
      <c r="AV132" s="354"/>
    </row>
    <row r="133" spans="4:48" ht="18" customHeight="1" x14ac:dyDescent="0.25">
      <c r="D133" s="354"/>
      <c r="AM133" s="354"/>
      <c r="AN133" s="354"/>
      <c r="AQ133" s="354"/>
      <c r="AR133" s="354"/>
      <c r="AU133" s="354"/>
      <c r="AV133" s="354"/>
    </row>
    <row r="134" spans="4:48" ht="18" customHeight="1" x14ac:dyDescent="0.25">
      <c r="D134" s="354"/>
      <c r="E134" s="354"/>
      <c r="F134" s="354"/>
      <c r="G134" s="354"/>
      <c r="H134" s="354"/>
      <c r="I134" s="354"/>
      <c r="J134" s="354"/>
      <c r="K134" s="354"/>
      <c r="L134" s="354"/>
      <c r="M134" s="354"/>
      <c r="N134" s="354"/>
      <c r="O134" s="354"/>
      <c r="P134" s="354"/>
      <c r="Q134" s="354"/>
    </row>
  </sheetData>
  <mergeCells count="36">
    <mergeCell ref="AP72:AR72"/>
    <mergeCell ref="AT72:AV72"/>
    <mergeCell ref="X4:AA5"/>
    <mergeCell ref="I12:I13"/>
    <mergeCell ref="Q12:Q13"/>
    <mergeCell ref="T11:AA11"/>
    <mergeCell ref="T12:T13"/>
    <mergeCell ref="U12:U13"/>
    <mergeCell ref="V12:V13"/>
    <mergeCell ref="W12:W13"/>
    <mergeCell ref="S12:S13"/>
    <mergeCell ref="X12:X13"/>
    <mergeCell ref="Y12:Y13"/>
    <mergeCell ref="Z12:AA12"/>
    <mergeCell ref="N12:N13"/>
    <mergeCell ref="K12:K13"/>
    <mergeCell ref="AL72:AN72"/>
    <mergeCell ref="O12:O13"/>
    <mergeCell ref="P12:P13"/>
    <mergeCell ref="S114:AA114"/>
    <mergeCell ref="D114:Q114"/>
    <mergeCell ref="B7:C7"/>
    <mergeCell ref="E11:F11"/>
    <mergeCell ref="M11:O11"/>
    <mergeCell ref="E12:E13"/>
    <mergeCell ref="F12:F13"/>
    <mergeCell ref="B12:B13"/>
    <mergeCell ref="C12:C13"/>
    <mergeCell ref="J12:J13"/>
    <mergeCell ref="L12:L13"/>
    <mergeCell ref="B11:C11"/>
    <mergeCell ref="G12:G13"/>
    <mergeCell ref="D12:D13"/>
    <mergeCell ref="H12:H13"/>
    <mergeCell ref="I11:K11"/>
    <mergeCell ref="M12:M13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125"/>
  <sheetViews>
    <sheetView workbookViewId="0">
      <pane xSplit="2" ySplit="9" topLeftCell="C112" activePane="bottomRight" state="frozen"/>
      <selection pane="topRight" activeCell="C1" sqref="C1"/>
      <selection pane="bottomLeft" activeCell="A9" sqref="A9"/>
      <selection pane="bottomRight" activeCell="A117" sqref="A117"/>
    </sheetView>
  </sheetViews>
  <sheetFormatPr defaultRowHeight="15" x14ac:dyDescent="0.25"/>
  <cols>
    <col min="2" max="2" width="10.28515625" customWidth="1"/>
    <col min="3" max="3" width="14.7109375" customWidth="1"/>
    <col min="4" max="5" width="12.7109375" customWidth="1"/>
    <col min="6" max="6" width="14.7109375" customWidth="1"/>
    <col min="7" max="10" width="12.7109375" customWidth="1"/>
    <col min="11" max="11" width="15.85546875" customWidth="1"/>
    <col min="12" max="12" width="12.7109375" customWidth="1"/>
    <col min="13" max="13" width="14.7109375" customWidth="1"/>
    <col min="14" max="15" width="12.7109375" customWidth="1"/>
    <col min="16" max="17" width="14.7109375" customWidth="1"/>
    <col min="18" max="18" width="1.140625" customWidth="1"/>
    <col min="19" max="25" width="14.7109375" customWidth="1"/>
    <col min="26" max="27" width="12.7109375" customWidth="1"/>
  </cols>
  <sheetData>
    <row r="1" spans="1:27" ht="18" x14ac:dyDescent="0.25">
      <c r="C1" s="121" t="s">
        <v>119</v>
      </c>
    </row>
    <row r="3" spans="1:27" ht="15.75" x14ac:dyDescent="0.25">
      <c r="C3" s="55" t="s">
        <v>65</v>
      </c>
      <c r="D3" s="9"/>
      <c r="E3" s="9"/>
      <c r="F3" s="9"/>
      <c r="G3" s="9"/>
      <c r="H3" s="9"/>
      <c r="I3" s="9"/>
      <c r="J3" s="9"/>
      <c r="K3" s="9"/>
      <c r="L3" s="9"/>
      <c r="M3" s="9"/>
      <c r="T3" s="55" t="s">
        <v>47</v>
      </c>
    </row>
    <row r="4" spans="1:27" ht="16.5" thickBot="1" x14ac:dyDescent="0.3">
      <c r="C4" s="55"/>
      <c r="D4" s="9"/>
      <c r="E4" s="9"/>
      <c r="F4" s="9"/>
      <c r="G4" s="9"/>
      <c r="H4" s="9"/>
      <c r="I4" s="9"/>
      <c r="J4" s="9"/>
      <c r="K4" s="9"/>
      <c r="L4" s="9"/>
      <c r="M4" s="9"/>
      <c r="T4" s="55"/>
    </row>
    <row r="5" spans="1:27" ht="18.75" thickBot="1" x14ac:dyDescent="0.3">
      <c r="A5" s="1" t="s">
        <v>18</v>
      </c>
      <c r="B5" s="10"/>
      <c r="C5" s="12" t="s">
        <v>8</v>
      </c>
      <c r="D5" s="13" t="s">
        <v>36</v>
      </c>
      <c r="E5" s="14"/>
      <c r="F5" s="12" t="s">
        <v>9</v>
      </c>
      <c r="G5" s="928" t="s">
        <v>38</v>
      </c>
      <c r="H5" s="929"/>
      <c r="I5" s="930"/>
      <c r="J5" s="15"/>
      <c r="K5" s="15" t="s">
        <v>11</v>
      </c>
      <c r="L5" s="14"/>
      <c r="M5" s="15" t="s">
        <v>24</v>
      </c>
      <c r="N5" s="16" t="s">
        <v>37</v>
      </c>
      <c r="O5" s="14"/>
      <c r="P5" s="15" t="s">
        <v>12</v>
      </c>
      <c r="Q5" s="12" t="s">
        <v>13</v>
      </c>
      <c r="R5" s="320"/>
      <c r="S5" s="1" t="s">
        <v>121</v>
      </c>
      <c r="T5" s="56"/>
      <c r="U5" s="56"/>
      <c r="V5" s="931" t="s">
        <v>108</v>
      </c>
      <c r="W5" s="932"/>
      <c r="X5" s="932"/>
      <c r="Y5" s="932"/>
      <c r="Z5" s="932"/>
      <c r="AA5" s="933"/>
    </row>
    <row r="6" spans="1:27" ht="18.75" thickBot="1" x14ac:dyDescent="0.3">
      <c r="A6" s="17"/>
      <c r="B6" s="2"/>
      <c r="C6" s="20" t="s">
        <v>30</v>
      </c>
      <c r="D6" s="24" t="s">
        <v>25</v>
      </c>
      <c r="E6" s="23" t="s">
        <v>33</v>
      </c>
      <c r="F6" s="20" t="s">
        <v>10</v>
      </c>
      <c r="G6" s="24" t="s">
        <v>26</v>
      </c>
      <c r="H6" s="29" t="s">
        <v>0</v>
      </c>
      <c r="I6" s="324" t="s">
        <v>98</v>
      </c>
      <c r="J6" s="335" t="s">
        <v>19</v>
      </c>
      <c r="K6" s="26" t="s">
        <v>23</v>
      </c>
      <c r="L6" s="23" t="s">
        <v>23</v>
      </c>
      <c r="M6" s="20" t="s">
        <v>24</v>
      </c>
      <c r="N6" s="24" t="s">
        <v>2</v>
      </c>
      <c r="O6" s="23" t="s">
        <v>35</v>
      </c>
      <c r="P6" s="20" t="s">
        <v>27</v>
      </c>
      <c r="Q6" s="20" t="s">
        <v>3</v>
      </c>
      <c r="R6" s="321"/>
      <c r="S6" s="24" t="s">
        <v>48</v>
      </c>
      <c r="T6" s="43" t="s">
        <v>49</v>
      </c>
      <c r="U6" s="46" t="s">
        <v>49</v>
      </c>
      <c r="V6" s="29" t="s">
        <v>49</v>
      </c>
      <c r="W6" s="26" t="s">
        <v>49</v>
      </c>
      <c r="X6" s="43" t="s">
        <v>49</v>
      </c>
      <c r="Y6" s="46" t="s">
        <v>49</v>
      </c>
      <c r="Z6" s="41" t="s">
        <v>41</v>
      </c>
      <c r="AA6" s="28"/>
    </row>
    <row r="7" spans="1:27" ht="18" x14ac:dyDescent="0.25">
      <c r="A7" s="18"/>
      <c r="B7" s="3"/>
      <c r="C7" s="21" t="s">
        <v>31</v>
      </c>
      <c r="D7" s="25" t="s">
        <v>32</v>
      </c>
      <c r="E7" s="4"/>
      <c r="F7" s="21"/>
      <c r="G7" s="25"/>
      <c r="H7" s="30" t="s">
        <v>4</v>
      </c>
      <c r="I7" s="325" t="s">
        <v>99</v>
      </c>
      <c r="J7" s="336" t="s">
        <v>20</v>
      </c>
      <c r="K7" s="27" t="s">
        <v>34</v>
      </c>
      <c r="L7" s="4" t="s">
        <v>15</v>
      </c>
      <c r="M7" s="21" t="s">
        <v>55</v>
      </c>
      <c r="N7" s="25"/>
      <c r="O7" s="4"/>
      <c r="P7" s="21" t="s">
        <v>28</v>
      </c>
      <c r="Q7" s="21" t="s">
        <v>21</v>
      </c>
      <c r="R7" s="321"/>
      <c r="S7" s="25" t="s">
        <v>16</v>
      </c>
      <c r="T7" s="44" t="s">
        <v>39</v>
      </c>
      <c r="U7" s="47" t="s">
        <v>17</v>
      </c>
      <c r="V7" s="30" t="s">
        <v>40</v>
      </c>
      <c r="W7" s="27" t="s">
        <v>16</v>
      </c>
      <c r="X7" s="44" t="s">
        <v>39</v>
      </c>
      <c r="Y7" s="47" t="s">
        <v>17</v>
      </c>
      <c r="Z7" s="24" t="s">
        <v>49</v>
      </c>
      <c r="AA7" s="4" t="s">
        <v>49</v>
      </c>
    </row>
    <row r="8" spans="1:27" ht="18" x14ac:dyDescent="0.25">
      <c r="A8" s="18"/>
      <c r="B8" s="3"/>
      <c r="C8" s="21"/>
      <c r="D8" s="25"/>
      <c r="E8" s="4"/>
      <c r="F8" s="21"/>
      <c r="G8" s="25"/>
      <c r="H8" s="30"/>
      <c r="I8" s="325"/>
      <c r="J8" s="336" t="s">
        <v>22</v>
      </c>
      <c r="K8" s="27"/>
      <c r="L8" s="4"/>
      <c r="M8" s="21"/>
      <c r="N8" s="25"/>
      <c r="O8" s="4"/>
      <c r="P8" s="21"/>
      <c r="Q8" s="21"/>
      <c r="R8" s="321"/>
      <c r="S8" s="25" t="s">
        <v>5</v>
      </c>
      <c r="T8" s="44" t="s">
        <v>5</v>
      </c>
      <c r="U8" s="47" t="s">
        <v>5</v>
      </c>
      <c r="V8" s="30" t="s">
        <v>29</v>
      </c>
      <c r="W8" s="27" t="s">
        <v>6</v>
      </c>
      <c r="X8" s="44" t="s">
        <v>6</v>
      </c>
      <c r="Y8" s="47" t="s">
        <v>6</v>
      </c>
      <c r="Z8" s="25" t="s">
        <v>1</v>
      </c>
      <c r="AA8" s="4" t="s">
        <v>7</v>
      </c>
    </row>
    <row r="9" spans="1:27" ht="18.75" thickBot="1" x14ac:dyDescent="0.3">
      <c r="A9" s="19"/>
      <c r="B9" s="42" t="s">
        <v>14</v>
      </c>
      <c r="C9" s="22"/>
      <c r="D9" s="7"/>
      <c r="E9" s="5"/>
      <c r="F9" s="97"/>
      <c r="G9" s="7"/>
      <c r="H9" s="31"/>
      <c r="I9" s="326"/>
      <c r="J9" s="337"/>
      <c r="K9" s="6"/>
      <c r="L9" s="5"/>
      <c r="M9" s="22"/>
      <c r="N9" s="99"/>
      <c r="O9" s="3"/>
      <c r="P9" s="22"/>
      <c r="Q9" s="22"/>
      <c r="R9" s="322"/>
      <c r="S9" s="7"/>
      <c r="T9" s="45"/>
      <c r="U9" s="48"/>
      <c r="V9" s="31"/>
      <c r="W9" s="6"/>
      <c r="X9" s="45"/>
      <c r="Y9" s="48"/>
      <c r="Z9" s="7"/>
      <c r="AA9" s="5"/>
    </row>
    <row r="10" spans="1:27" x14ac:dyDescent="0.25">
      <c r="A10" s="112">
        <v>1</v>
      </c>
      <c r="B10" s="122">
        <v>2008</v>
      </c>
      <c r="C10" s="102">
        <v>95.5</v>
      </c>
      <c r="D10" s="62">
        <v>95.5</v>
      </c>
      <c r="E10" s="113">
        <v>94.9</v>
      </c>
      <c r="F10" s="102">
        <v>94.9</v>
      </c>
      <c r="G10" s="327">
        <v>95.5</v>
      </c>
      <c r="H10" s="113">
        <v>95</v>
      </c>
      <c r="I10" s="105"/>
      <c r="J10" s="62">
        <v>95.4</v>
      </c>
      <c r="K10" s="87">
        <v>95.2</v>
      </c>
      <c r="L10" s="63">
        <v>95.6</v>
      </c>
      <c r="M10" s="62">
        <v>95</v>
      </c>
      <c r="N10" s="101">
        <v>95.5</v>
      </c>
      <c r="O10" s="105">
        <v>95.5</v>
      </c>
      <c r="P10" s="102">
        <v>95.5</v>
      </c>
      <c r="Q10" s="63">
        <v>95.8</v>
      </c>
      <c r="R10" s="34"/>
      <c r="S10" s="36">
        <v>184.1</v>
      </c>
      <c r="T10" s="89"/>
      <c r="U10" s="125"/>
      <c r="V10" s="87">
        <v>304.10000000000002</v>
      </c>
      <c r="W10" s="37">
        <v>153.69999999999999</v>
      </c>
      <c r="X10" s="89"/>
      <c r="Y10" s="49"/>
      <c r="Z10" s="36">
        <v>287.7</v>
      </c>
      <c r="AA10" s="83">
        <v>284.3</v>
      </c>
    </row>
    <row r="11" spans="1:27" x14ac:dyDescent="0.25">
      <c r="A11" s="114">
        <v>2</v>
      </c>
      <c r="B11" s="123">
        <v>2008</v>
      </c>
      <c r="C11" s="92">
        <v>96</v>
      </c>
      <c r="D11" s="34">
        <v>96</v>
      </c>
      <c r="E11" s="108">
        <v>95.3</v>
      </c>
      <c r="F11" s="92">
        <v>95.3</v>
      </c>
      <c r="G11" s="115">
        <v>96.2</v>
      </c>
      <c r="H11" s="108">
        <v>95.5</v>
      </c>
      <c r="I11" s="85"/>
      <c r="J11" s="34">
        <v>96.1</v>
      </c>
      <c r="K11" s="88">
        <v>95.9</v>
      </c>
      <c r="L11" s="40">
        <v>96.2</v>
      </c>
      <c r="M11" s="34">
        <v>95.7</v>
      </c>
      <c r="N11" s="32">
        <v>96.1</v>
      </c>
      <c r="O11" s="85">
        <v>96.1</v>
      </c>
      <c r="P11" s="92">
        <v>96.1</v>
      </c>
      <c r="Q11" s="40">
        <v>96.7</v>
      </c>
      <c r="R11" s="34"/>
      <c r="S11" s="38">
        <v>186.8</v>
      </c>
      <c r="T11" s="90"/>
      <c r="U11" s="126"/>
      <c r="V11" s="88">
        <v>321.60000000000002</v>
      </c>
      <c r="W11" s="39">
        <v>161.4</v>
      </c>
      <c r="X11" s="90"/>
      <c r="Y11" s="50"/>
      <c r="Z11" s="38">
        <v>290.5</v>
      </c>
      <c r="AA11" s="84">
        <v>287.10000000000002</v>
      </c>
    </row>
    <row r="12" spans="1:27" x14ac:dyDescent="0.25">
      <c r="A12" s="114">
        <v>3</v>
      </c>
      <c r="B12" s="123">
        <v>2008</v>
      </c>
      <c r="C12" s="92">
        <v>97.5</v>
      </c>
      <c r="D12" s="34">
        <v>97.3</v>
      </c>
      <c r="E12" s="108">
        <v>96.8</v>
      </c>
      <c r="F12" s="92">
        <v>96.4</v>
      </c>
      <c r="G12" s="115">
        <v>97.3</v>
      </c>
      <c r="H12" s="108">
        <v>96.6</v>
      </c>
      <c r="I12" s="85"/>
      <c r="J12" s="34">
        <v>97.7</v>
      </c>
      <c r="K12" s="88">
        <v>97.6</v>
      </c>
      <c r="L12" s="40">
        <v>97.7</v>
      </c>
      <c r="M12" s="34">
        <v>97.1</v>
      </c>
      <c r="N12" s="32">
        <v>97.6</v>
      </c>
      <c r="O12" s="85">
        <v>97.6</v>
      </c>
      <c r="P12" s="92">
        <v>97.1</v>
      </c>
      <c r="Q12" s="40">
        <v>97.8</v>
      </c>
      <c r="R12" s="34"/>
      <c r="S12" s="38">
        <v>187.8</v>
      </c>
      <c r="T12" s="90"/>
      <c r="U12" s="126"/>
      <c r="V12" s="88">
        <v>367.6</v>
      </c>
      <c r="W12" s="39">
        <v>161.4</v>
      </c>
      <c r="X12" s="90"/>
      <c r="Y12" s="50"/>
      <c r="Z12" s="38">
        <v>321.39999999999998</v>
      </c>
      <c r="AA12" s="84">
        <v>318.3</v>
      </c>
    </row>
    <row r="13" spans="1:27" x14ac:dyDescent="0.25">
      <c r="A13" s="114">
        <v>4</v>
      </c>
      <c r="B13" s="123">
        <v>2008</v>
      </c>
      <c r="C13" s="92">
        <v>98.3</v>
      </c>
      <c r="D13" s="34">
        <v>97.9</v>
      </c>
      <c r="E13" s="108">
        <v>97.7</v>
      </c>
      <c r="F13" s="92">
        <v>97.5</v>
      </c>
      <c r="G13" s="115">
        <v>98</v>
      </c>
      <c r="H13" s="108">
        <v>97.5</v>
      </c>
      <c r="I13" s="85"/>
      <c r="J13" s="34">
        <v>98.3</v>
      </c>
      <c r="K13" s="88">
        <v>98.1</v>
      </c>
      <c r="L13" s="40">
        <v>98.2</v>
      </c>
      <c r="M13" s="34">
        <v>97.9</v>
      </c>
      <c r="N13" s="32">
        <v>98.2</v>
      </c>
      <c r="O13" s="85">
        <v>98.2</v>
      </c>
      <c r="P13" s="92">
        <v>97.9</v>
      </c>
      <c r="Q13" s="40">
        <v>98.3</v>
      </c>
      <c r="R13" s="34"/>
      <c r="S13" s="38">
        <v>191</v>
      </c>
      <c r="T13" s="90"/>
      <c r="U13" s="126"/>
      <c r="V13" s="88">
        <v>424.9</v>
      </c>
      <c r="W13" s="39">
        <v>161.4</v>
      </c>
      <c r="X13" s="90"/>
      <c r="Y13" s="50"/>
      <c r="Z13" s="38">
        <v>372.6</v>
      </c>
      <c r="AA13" s="84">
        <v>369.5</v>
      </c>
    </row>
    <row r="14" spans="1:27" x14ac:dyDescent="0.25">
      <c r="A14" s="114">
        <v>5</v>
      </c>
      <c r="B14" s="123">
        <v>2008</v>
      </c>
      <c r="C14" s="92">
        <v>98.8</v>
      </c>
      <c r="D14" s="34">
        <v>98.7</v>
      </c>
      <c r="E14" s="108">
        <v>98.5</v>
      </c>
      <c r="F14" s="92">
        <v>98.1</v>
      </c>
      <c r="G14" s="115">
        <v>98.6</v>
      </c>
      <c r="H14" s="108">
        <v>98.3</v>
      </c>
      <c r="I14" s="85"/>
      <c r="J14" s="34">
        <v>98.9</v>
      </c>
      <c r="K14" s="88">
        <v>98.7</v>
      </c>
      <c r="L14" s="40">
        <v>99.1</v>
      </c>
      <c r="M14" s="34">
        <v>98.6</v>
      </c>
      <c r="N14" s="32">
        <v>98.9</v>
      </c>
      <c r="O14" s="85">
        <v>98.9</v>
      </c>
      <c r="P14" s="92">
        <v>98.4</v>
      </c>
      <c r="Q14" s="40">
        <v>99.2</v>
      </c>
      <c r="R14" s="34"/>
      <c r="S14" s="38">
        <v>199</v>
      </c>
      <c r="T14" s="90"/>
      <c r="U14" s="126"/>
      <c r="V14" s="88">
        <v>471</v>
      </c>
      <c r="W14" s="39">
        <v>168.3</v>
      </c>
      <c r="X14" s="90"/>
      <c r="Y14" s="50"/>
      <c r="Z14" s="38">
        <v>400.4</v>
      </c>
      <c r="AA14" s="84">
        <v>397.9</v>
      </c>
    </row>
    <row r="15" spans="1:27" x14ac:dyDescent="0.25">
      <c r="A15" s="114">
        <v>6</v>
      </c>
      <c r="B15" s="123">
        <v>2008</v>
      </c>
      <c r="C15" s="92">
        <v>99.8</v>
      </c>
      <c r="D15" s="34">
        <v>99.9</v>
      </c>
      <c r="E15" s="108">
        <v>100.3</v>
      </c>
      <c r="F15" s="92">
        <v>99.4</v>
      </c>
      <c r="G15" s="115">
        <v>100.1</v>
      </c>
      <c r="H15" s="108">
        <v>100.1</v>
      </c>
      <c r="I15" s="85"/>
      <c r="J15" s="34">
        <v>100.1</v>
      </c>
      <c r="K15" s="88">
        <v>100.4</v>
      </c>
      <c r="L15" s="40">
        <v>100.5</v>
      </c>
      <c r="M15" s="34">
        <v>100</v>
      </c>
      <c r="N15" s="32">
        <v>99.8</v>
      </c>
      <c r="O15" s="85">
        <v>99.8</v>
      </c>
      <c r="P15" s="92">
        <v>99.9</v>
      </c>
      <c r="Q15" s="40">
        <v>100.2</v>
      </c>
      <c r="R15" s="34"/>
      <c r="S15" s="38">
        <v>201.8</v>
      </c>
      <c r="T15" s="90"/>
      <c r="U15" s="126"/>
      <c r="V15" s="88">
        <v>519.9</v>
      </c>
      <c r="W15" s="39">
        <v>168.3</v>
      </c>
      <c r="X15" s="90"/>
      <c r="Y15" s="50"/>
      <c r="Z15" s="38">
        <v>428.5</v>
      </c>
      <c r="AA15" s="84">
        <v>426.3</v>
      </c>
    </row>
    <row r="16" spans="1:27" x14ac:dyDescent="0.25">
      <c r="A16" s="114">
        <v>7</v>
      </c>
      <c r="B16" s="123">
        <v>2008</v>
      </c>
      <c r="C16" s="92">
        <v>101.2</v>
      </c>
      <c r="D16" s="34">
        <v>101.2</v>
      </c>
      <c r="E16" s="108">
        <v>101.6</v>
      </c>
      <c r="F16" s="92">
        <v>101.7</v>
      </c>
      <c r="G16" s="115">
        <v>101.2</v>
      </c>
      <c r="H16" s="108">
        <v>101.9</v>
      </c>
      <c r="I16" s="85"/>
      <c r="J16" s="34">
        <v>101.3</v>
      </c>
      <c r="K16" s="88">
        <v>101.5</v>
      </c>
      <c r="L16" s="40">
        <v>102</v>
      </c>
      <c r="M16" s="34">
        <v>101.1</v>
      </c>
      <c r="N16" s="32">
        <v>101</v>
      </c>
      <c r="O16" s="85">
        <v>101</v>
      </c>
      <c r="P16" s="92">
        <v>101.3</v>
      </c>
      <c r="Q16" s="40">
        <v>101.4</v>
      </c>
      <c r="R16" s="34"/>
      <c r="S16" s="38">
        <v>203.9</v>
      </c>
      <c r="T16" s="90"/>
      <c r="U16" s="126"/>
      <c r="V16" s="88">
        <v>511.9</v>
      </c>
      <c r="W16" s="39">
        <v>168.3</v>
      </c>
      <c r="X16" s="90"/>
      <c r="Y16" s="50"/>
      <c r="Z16" s="38">
        <v>453.5</v>
      </c>
      <c r="AA16" s="84">
        <v>451.5</v>
      </c>
    </row>
    <row r="17" spans="1:27" x14ac:dyDescent="0.25">
      <c r="A17" s="114">
        <v>8</v>
      </c>
      <c r="B17" s="123">
        <v>2008</v>
      </c>
      <c r="C17" s="92">
        <v>101.8</v>
      </c>
      <c r="D17" s="34">
        <v>101.8</v>
      </c>
      <c r="E17" s="108">
        <v>102.4</v>
      </c>
      <c r="F17" s="92">
        <v>102.7</v>
      </c>
      <c r="G17" s="115">
        <v>101.8</v>
      </c>
      <c r="H17" s="108">
        <v>102.5</v>
      </c>
      <c r="I17" s="85"/>
      <c r="J17" s="34">
        <v>101.5</v>
      </c>
      <c r="K17" s="88">
        <v>102.1</v>
      </c>
      <c r="L17" s="40">
        <v>102.3</v>
      </c>
      <c r="M17" s="34">
        <v>102.1</v>
      </c>
      <c r="N17" s="32">
        <v>101.7</v>
      </c>
      <c r="O17" s="85">
        <v>101.7</v>
      </c>
      <c r="P17" s="92">
        <v>101.6</v>
      </c>
      <c r="Q17" s="40">
        <v>101.8</v>
      </c>
      <c r="R17" s="34"/>
      <c r="S17" s="38">
        <v>217.3</v>
      </c>
      <c r="T17" s="90"/>
      <c r="U17" s="126"/>
      <c r="V17" s="88">
        <v>419.9</v>
      </c>
      <c r="W17" s="39">
        <v>175.4</v>
      </c>
      <c r="X17" s="90"/>
      <c r="Y17" s="50"/>
      <c r="Z17" s="38">
        <v>447.1</v>
      </c>
      <c r="AA17" s="84">
        <v>444.7</v>
      </c>
    </row>
    <row r="18" spans="1:27" x14ac:dyDescent="0.25">
      <c r="A18" s="114">
        <v>9</v>
      </c>
      <c r="B18" s="123">
        <v>2008</v>
      </c>
      <c r="C18" s="92">
        <v>102.6</v>
      </c>
      <c r="D18" s="34">
        <v>102.9</v>
      </c>
      <c r="E18" s="108">
        <v>103</v>
      </c>
      <c r="F18" s="92">
        <v>103.1</v>
      </c>
      <c r="G18" s="115">
        <v>102.6</v>
      </c>
      <c r="H18" s="108">
        <v>102.8</v>
      </c>
      <c r="I18" s="85"/>
      <c r="J18" s="34">
        <v>102.5</v>
      </c>
      <c r="K18" s="88">
        <v>102.5</v>
      </c>
      <c r="L18" s="40">
        <v>102</v>
      </c>
      <c r="M18" s="34">
        <v>103</v>
      </c>
      <c r="N18" s="32">
        <v>102.6</v>
      </c>
      <c r="O18" s="85">
        <v>102.6</v>
      </c>
      <c r="P18" s="92">
        <v>102.8</v>
      </c>
      <c r="Q18" s="40">
        <v>102</v>
      </c>
      <c r="R18" s="34"/>
      <c r="S18" s="38">
        <v>218.8</v>
      </c>
      <c r="T18" s="90"/>
      <c r="U18" s="126"/>
      <c r="V18" s="88">
        <v>394.3</v>
      </c>
      <c r="W18" s="39">
        <v>175.4</v>
      </c>
      <c r="X18" s="90"/>
      <c r="Y18" s="50"/>
      <c r="Z18" s="38">
        <v>390</v>
      </c>
      <c r="AA18" s="84">
        <v>387.1</v>
      </c>
    </row>
    <row r="19" spans="1:27" x14ac:dyDescent="0.25">
      <c r="A19" s="114">
        <v>10</v>
      </c>
      <c r="B19" s="123">
        <v>2008</v>
      </c>
      <c r="C19" s="92">
        <v>102.9</v>
      </c>
      <c r="D19" s="34">
        <v>103.2</v>
      </c>
      <c r="E19" s="108">
        <v>103.2</v>
      </c>
      <c r="F19" s="92">
        <v>103.6</v>
      </c>
      <c r="G19" s="115">
        <v>102.8</v>
      </c>
      <c r="H19" s="108">
        <v>103.2</v>
      </c>
      <c r="I19" s="85"/>
      <c r="J19" s="34">
        <v>102.8</v>
      </c>
      <c r="K19" s="88">
        <v>102.6</v>
      </c>
      <c r="L19" s="40">
        <v>102.4</v>
      </c>
      <c r="M19" s="34">
        <v>103.2</v>
      </c>
      <c r="N19" s="32">
        <v>102.8</v>
      </c>
      <c r="O19" s="85">
        <v>102.8</v>
      </c>
      <c r="P19" s="92">
        <v>103.1</v>
      </c>
      <c r="Q19" s="40">
        <v>102.3</v>
      </c>
      <c r="R19" s="34"/>
      <c r="S19" s="38">
        <v>219.6</v>
      </c>
      <c r="T19" s="90"/>
      <c r="U19" s="126"/>
      <c r="V19" s="88">
        <v>377.4</v>
      </c>
      <c r="W19" s="39">
        <v>175.4</v>
      </c>
      <c r="X19" s="90"/>
      <c r="Y19" s="50"/>
      <c r="Z19" s="38">
        <v>367.8</v>
      </c>
      <c r="AA19" s="84">
        <v>364.7</v>
      </c>
    </row>
    <row r="20" spans="1:27" x14ac:dyDescent="0.25">
      <c r="A20" s="114">
        <v>11</v>
      </c>
      <c r="B20" s="123">
        <v>2008</v>
      </c>
      <c r="C20" s="92">
        <v>102.9</v>
      </c>
      <c r="D20" s="34">
        <v>103.2</v>
      </c>
      <c r="E20" s="108">
        <v>103.3</v>
      </c>
      <c r="F20" s="92">
        <v>103.7</v>
      </c>
      <c r="G20" s="115">
        <v>103</v>
      </c>
      <c r="H20" s="108">
        <v>103.2</v>
      </c>
      <c r="I20" s="85"/>
      <c r="J20" s="34">
        <v>102.9</v>
      </c>
      <c r="K20" s="88">
        <v>102.7</v>
      </c>
      <c r="L20" s="40">
        <v>102.3</v>
      </c>
      <c r="M20" s="34">
        <v>103.3</v>
      </c>
      <c r="N20" s="32">
        <v>102.9</v>
      </c>
      <c r="O20" s="85">
        <v>102.9</v>
      </c>
      <c r="P20" s="92">
        <v>103.3</v>
      </c>
      <c r="Q20" s="40">
        <v>102.5</v>
      </c>
      <c r="R20" s="34"/>
      <c r="S20" s="38">
        <v>219.2</v>
      </c>
      <c r="T20" s="90"/>
      <c r="U20" s="126"/>
      <c r="V20" s="88">
        <v>336.8</v>
      </c>
      <c r="W20" s="39">
        <v>184.8</v>
      </c>
      <c r="X20" s="90"/>
      <c r="Y20" s="50"/>
      <c r="Z20" s="38">
        <v>358.2</v>
      </c>
      <c r="AA20" s="84">
        <v>355.1</v>
      </c>
    </row>
    <row r="21" spans="1:27" x14ac:dyDescent="0.25">
      <c r="A21" s="114">
        <v>12</v>
      </c>
      <c r="B21" s="123">
        <v>2008</v>
      </c>
      <c r="C21" s="92">
        <v>102.8</v>
      </c>
      <c r="D21" s="34">
        <v>102.6</v>
      </c>
      <c r="E21" s="108">
        <v>103.2</v>
      </c>
      <c r="F21" s="92">
        <v>103.5</v>
      </c>
      <c r="G21" s="115">
        <v>102.9</v>
      </c>
      <c r="H21" s="108">
        <v>103.3</v>
      </c>
      <c r="I21" s="85"/>
      <c r="J21" s="34">
        <v>102.5</v>
      </c>
      <c r="K21" s="88">
        <v>102.6</v>
      </c>
      <c r="L21" s="40">
        <v>101.8</v>
      </c>
      <c r="M21" s="34">
        <v>103.2</v>
      </c>
      <c r="N21" s="32">
        <v>102.9</v>
      </c>
      <c r="O21" s="85">
        <v>102.9</v>
      </c>
      <c r="P21" s="92">
        <v>103</v>
      </c>
      <c r="Q21" s="40">
        <v>102</v>
      </c>
      <c r="R21" s="34"/>
      <c r="S21" s="38">
        <v>216.6</v>
      </c>
      <c r="T21" s="90"/>
      <c r="U21" s="126"/>
      <c r="V21" s="88">
        <v>274.3</v>
      </c>
      <c r="W21" s="39">
        <v>184.8</v>
      </c>
      <c r="X21" s="90"/>
      <c r="Y21" s="50"/>
      <c r="Z21" s="38">
        <v>326.10000000000002</v>
      </c>
      <c r="AA21" s="84">
        <v>322.7</v>
      </c>
    </row>
    <row r="22" spans="1:27" x14ac:dyDescent="0.25">
      <c r="A22" s="114">
        <v>1</v>
      </c>
      <c r="B22" s="123">
        <v>2009</v>
      </c>
      <c r="C22" s="92">
        <v>102.9</v>
      </c>
      <c r="D22" s="34">
        <v>102.8</v>
      </c>
      <c r="E22" s="108">
        <v>102.7</v>
      </c>
      <c r="F22" s="92">
        <v>103.6</v>
      </c>
      <c r="G22" s="115">
        <v>103.4</v>
      </c>
      <c r="H22" s="108">
        <v>104.2</v>
      </c>
      <c r="I22" s="85"/>
      <c r="J22" s="34">
        <v>103</v>
      </c>
      <c r="K22" s="88">
        <v>102.8</v>
      </c>
      <c r="L22" s="40">
        <v>101.9</v>
      </c>
      <c r="M22" s="34">
        <v>103.3</v>
      </c>
      <c r="N22" s="32">
        <v>103.2</v>
      </c>
      <c r="O22" s="85">
        <v>103.2</v>
      </c>
      <c r="P22" s="92">
        <v>103.8</v>
      </c>
      <c r="Q22" s="40">
        <v>102</v>
      </c>
      <c r="R22" s="34"/>
      <c r="S22" s="32">
        <v>219.7</v>
      </c>
      <c r="T22" s="91"/>
      <c r="U22" s="127"/>
      <c r="V22" s="88">
        <v>286.5</v>
      </c>
      <c r="W22" s="34">
        <v>184.8</v>
      </c>
      <c r="X22" s="91"/>
      <c r="Y22" s="51"/>
      <c r="Z22" s="32">
        <v>259.39999999999998</v>
      </c>
      <c r="AA22" s="85">
        <v>255.5</v>
      </c>
    </row>
    <row r="23" spans="1:27" x14ac:dyDescent="0.25">
      <c r="A23" s="114">
        <v>2</v>
      </c>
      <c r="B23" s="123">
        <v>2009</v>
      </c>
      <c r="C23" s="92">
        <v>103.8</v>
      </c>
      <c r="D23" s="34">
        <v>104.1</v>
      </c>
      <c r="E23" s="108">
        <v>104.1</v>
      </c>
      <c r="F23" s="92">
        <v>104.5</v>
      </c>
      <c r="G23" s="115">
        <v>104.4</v>
      </c>
      <c r="H23" s="108">
        <v>105</v>
      </c>
      <c r="I23" s="85"/>
      <c r="J23" s="34">
        <v>104.4</v>
      </c>
      <c r="K23" s="88">
        <v>104.1</v>
      </c>
      <c r="L23" s="40">
        <v>103.3</v>
      </c>
      <c r="M23" s="34">
        <v>104.6</v>
      </c>
      <c r="N23" s="32">
        <v>104.3</v>
      </c>
      <c r="O23" s="85">
        <v>104.3</v>
      </c>
      <c r="P23" s="92">
        <v>105.3</v>
      </c>
      <c r="Q23" s="40">
        <v>103.8</v>
      </c>
      <c r="R23" s="34"/>
      <c r="S23" s="32">
        <v>215.7</v>
      </c>
      <c r="T23" s="91"/>
      <c r="U23" s="127"/>
      <c r="V23" s="88">
        <v>271.3</v>
      </c>
      <c r="W23" s="34">
        <v>193</v>
      </c>
      <c r="X23" s="91"/>
      <c r="Y23" s="51"/>
      <c r="Z23" s="32">
        <v>257.39999999999998</v>
      </c>
      <c r="AA23" s="85">
        <v>253.9</v>
      </c>
    </row>
    <row r="24" spans="1:27" x14ac:dyDescent="0.25">
      <c r="A24" s="114">
        <v>3</v>
      </c>
      <c r="B24" s="123">
        <v>2009</v>
      </c>
      <c r="C24" s="92">
        <v>105.5</v>
      </c>
      <c r="D24" s="34">
        <v>105.4</v>
      </c>
      <c r="E24" s="108">
        <v>105.4</v>
      </c>
      <c r="F24" s="92">
        <v>106</v>
      </c>
      <c r="G24" s="115">
        <v>105.9</v>
      </c>
      <c r="H24" s="108">
        <v>106.2</v>
      </c>
      <c r="I24" s="85"/>
      <c r="J24" s="34">
        <v>105.8</v>
      </c>
      <c r="K24" s="88">
        <v>105.5</v>
      </c>
      <c r="L24" s="40">
        <v>104.9</v>
      </c>
      <c r="M24" s="34">
        <v>106.5</v>
      </c>
      <c r="N24" s="32">
        <v>105.7</v>
      </c>
      <c r="O24" s="85">
        <v>105.7</v>
      </c>
      <c r="P24" s="92">
        <v>106.6</v>
      </c>
      <c r="Q24" s="40">
        <v>105.3</v>
      </c>
      <c r="R24" s="34"/>
      <c r="S24" s="32">
        <v>214.8</v>
      </c>
      <c r="T24" s="91"/>
      <c r="U24" s="127"/>
      <c r="V24" s="88">
        <v>253.5</v>
      </c>
      <c r="W24" s="34">
        <v>193</v>
      </c>
      <c r="X24" s="91"/>
      <c r="Y24" s="51"/>
      <c r="Z24" s="32">
        <v>242.4</v>
      </c>
      <c r="AA24" s="85">
        <v>238.3</v>
      </c>
    </row>
    <row r="25" spans="1:27" x14ac:dyDescent="0.25">
      <c r="A25" s="114">
        <v>4</v>
      </c>
      <c r="B25" s="123">
        <v>2009</v>
      </c>
      <c r="C25" s="158">
        <v>105.9</v>
      </c>
      <c r="D25" s="34">
        <v>105.9</v>
      </c>
      <c r="E25" s="108">
        <v>106</v>
      </c>
      <c r="F25" s="92">
        <v>106.4</v>
      </c>
      <c r="G25" s="115">
        <v>106.4</v>
      </c>
      <c r="H25" s="108">
        <v>106.7</v>
      </c>
      <c r="I25" s="85"/>
      <c r="J25" s="34">
        <v>106.4</v>
      </c>
      <c r="K25" s="88">
        <v>106.1</v>
      </c>
      <c r="L25" s="40">
        <v>105.4</v>
      </c>
      <c r="M25" s="34">
        <v>106.6</v>
      </c>
      <c r="N25" s="32">
        <v>106.3</v>
      </c>
      <c r="O25" s="85">
        <v>106.3</v>
      </c>
      <c r="P25" s="92">
        <v>107.1</v>
      </c>
      <c r="Q25" s="40">
        <v>105.5</v>
      </c>
      <c r="R25" s="34"/>
      <c r="S25" s="32">
        <v>213.3</v>
      </c>
      <c r="T25" s="91"/>
      <c r="U25" s="127"/>
      <c r="V25" s="88">
        <v>250.2</v>
      </c>
      <c r="W25" s="34">
        <v>193</v>
      </c>
      <c r="X25" s="91"/>
      <c r="Y25" s="51"/>
      <c r="Z25" s="32">
        <v>258.2</v>
      </c>
      <c r="AA25" s="85">
        <v>254.3</v>
      </c>
    </row>
    <row r="26" spans="1:27" x14ac:dyDescent="0.25">
      <c r="A26" s="114">
        <v>5</v>
      </c>
      <c r="B26" s="123">
        <v>2009</v>
      </c>
      <c r="C26" s="158">
        <v>106.2</v>
      </c>
      <c r="D26" s="34">
        <v>106.2</v>
      </c>
      <c r="E26" s="108">
        <v>106.5</v>
      </c>
      <c r="F26" s="92">
        <v>106.8</v>
      </c>
      <c r="G26" s="115">
        <v>106.9</v>
      </c>
      <c r="H26" s="108">
        <v>107</v>
      </c>
      <c r="I26" s="85"/>
      <c r="J26" s="34">
        <v>106.8</v>
      </c>
      <c r="K26" s="88">
        <v>106.5</v>
      </c>
      <c r="L26" s="40">
        <v>105.6</v>
      </c>
      <c r="M26" s="34">
        <v>107</v>
      </c>
      <c r="N26" s="32">
        <v>106.7</v>
      </c>
      <c r="O26" s="85">
        <v>106.7</v>
      </c>
      <c r="P26" s="92">
        <v>107.8</v>
      </c>
      <c r="Q26" s="40">
        <v>105.8</v>
      </c>
      <c r="R26" s="34"/>
      <c r="S26" s="32">
        <v>209</v>
      </c>
      <c r="T26" s="91"/>
      <c r="U26" s="127"/>
      <c r="V26" s="88">
        <v>251.1</v>
      </c>
      <c r="W26" s="34">
        <v>189.2</v>
      </c>
      <c r="X26" s="91"/>
      <c r="Y26" s="51"/>
      <c r="Z26" s="32">
        <v>261.39999999999998</v>
      </c>
      <c r="AA26" s="85">
        <v>257.5</v>
      </c>
    </row>
    <row r="27" spans="1:27" x14ac:dyDescent="0.25">
      <c r="A27" s="114">
        <v>6</v>
      </c>
      <c r="B27" s="123">
        <v>2009</v>
      </c>
      <c r="C27" s="92">
        <v>106.7</v>
      </c>
      <c r="D27" s="34">
        <v>106.4</v>
      </c>
      <c r="E27" s="108">
        <v>106.8</v>
      </c>
      <c r="F27" s="92">
        <v>107.2</v>
      </c>
      <c r="G27" s="115">
        <v>107.2</v>
      </c>
      <c r="H27" s="108">
        <v>107.1</v>
      </c>
      <c r="I27" s="85"/>
      <c r="J27" s="34">
        <v>106.9</v>
      </c>
      <c r="K27" s="88">
        <v>107.2</v>
      </c>
      <c r="L27" s="40">
        <v>105.9</v>
      </c>
      <c r="M27" s="34">
        <v>107.1</v>
      </c>
      <c r="N27" s="32">
        <v>107</v>
      </c>
      <c r="O27" s="85">
        <v>107</v>
      </c>
      <c r="P27" s="92">
        <v>108.4</v>
      </c>
      <c r="Q27" s="40">
        <v>106.5</v>
      </c>
      <c r="R27" s="34"/>
      <c r="S27" s="32">
        <v>208.9</v>
      </c>
      <c r="T27" s="91"/>
      <c r="U27" s="127"/>
      <c r="V27" s="88">
        <v>256.8</v>
      </c>
      <c r="W27" s="34">
        <v>189.2</v>
      </c>
      <c r="X27" s="91"/>
      <c r="Y27" s="51"/>
      <c r="Z27" s="32">
        <v>256.3</v>
      </c>
      <c r="AA27" s="85">
        <v>253.1</v>
      </c>
    </row>
    <row r="28" spans="1:27" x14ac:dyDescent="0.25">
      <c r="A28" s="114">
        <v>7</v>
      </c>
      <c r="B28" s="123">
        <v>2009</v>
      </c>
      <c r="C28" s="92">
        <v>107.9</v>
      </c>
      <c r="D28" s="34">
        <v>108.2</v>
      </c>
      <c r="E28" s="108">
        <v>108.1</v>
      </c>
      <c r="F28" s="92">
        <v>108.7</v>
      </c>
      <c r="G28" s="115">
        <v>108</v>
      </c>
      <c r="H28" s="108">
        <v>108</v>
      </c>
      <c r="I28" s="85"/>
      <c r="J28" s="34">
        <v>108.7</v>
      </c>
      <c r="K28" s="88">
        <v>107.9</v>
      </c>
      <c r="L28" s="40">
        <v>107.8</v>
      </c>
      <c r="M28" s="34">
        <v>108.3</v>
      </c>
      <c r="N28" s="32">
        <v>108.2</v>
      </c>
      <c r="O28" s="85">
        <v>108.2</v>
      </c>
      <c r="P28" s="92">
        <v>109.6</v>
      </c>
      <c r="Q28" s="40">
        <v>107.5</v>
      </c>
      <c r="R28" s="34"/>
      <c r="S28" s="32">
        <v>211.3</v>
      </c>
      <c r="T28" s="91"/>
      <c r="U28" s="127"/>
      <c r="V28" s="88">
        <v>266.2</v>
      </c>
      <c r="W28" s="34">
        <v>189.2</v>
      </c>
      <c r="X28" s="91"/>
      <c r="Y28" s="51"/>
      <c r="Z28" s="32">
        <v>272.10000000000002</v>
      </c>
      <c r="AA28" s="85">
        <v>269.10000000000002</v>
      </c>
    </row>
    <row r="29" spans="1:27" x14ac:dyDescent="0.25">
      <c r="A29" s="114">
        <v>8</v>
      </c>
      <c r="B29" s="123">
        <v>2009</v>
      </c>
      <c r="C29" s="92">
        <v>108.2</v>
      </c>
      <c r="D29" s="34">
        <v>108.6</v>
      </c>
      <c r="E29" s="108">
        <v>108.3</v>
      </c>
      <c r="F29" s="92">
        <v>109.2</v>
      </c>
      <c r="G29" s="115">
        <v>108.1</v>
      </c>
      <c r="H29" s="108">
        <v>108.2</v>
      </c>
      <c r="I29" s="85"/>
      <c r="J29" s="34">
        <v>108.9</v>
      </c>
      <c r="K29" s="88">
        <v>108.5</v>
      </c>
      <c r="L29" s="40">
        <v>108.1</v>
      </c>
      <c r="M29" s="34">
        <v>108.7</v>
      </c>
      <c r="N29" s="32">
        <v>108.4</v>
      </c>
      <c r="O29" s="85">
        <v>108.4</v>
      </c>
      <c r="P29" s="92">
        <v>110.2</v>
      </c>
      <c r="Q29" s="40">
        <v>107.6</v>
      </c>
      <c r="R29" s="34"/>
      <c r="S29" s="32">
        <v>210.1</v>
      </c>
      <c r="T29" s="91"/>
      <c r="U29" s="127"/>
      <c r="V29" s="88">
        <v>262.10000000000002</v>
      </c>
      <c r="W29" s="34">
        <v>190.9</v>
      </c>
      <c r="X29" s="91"/>
      <c r="Y29" s="51"/>
      <c r="Z29" s="32">
        <v>264.2</v>
      </c>
      <c r="AA29" s="85">
        <v>261.10000000000002</v>
      </c>
    </row>
    <row r="30" spans="1:27" x14ac:dyDescent="0.25">
      <c r="A30" s="114">
        <v>9</v>
      </c>
      <c r="B30" s="123">
        <v>2009</v>
      </c>
      <c r="C30" s="92">
        <v>108.8</v>
      </c>
      <c r="D30" s="34">
        <v>108.8</v>
      </c>
      <c r="E30" s="108">
        <v>109</v>
      </c>
      <c r="F30" s="92">
        <v>109.6</v>
      </c>
      <c r="G30" s="115">
        <v>108.4</v>
      </c>
      <c r="H30" s="108">
        <v>108.5</v>
      </c>
      <c r="I30" s="85"/>
      <c r="J30" s="34">
        <v>109.4</v>
      </c>
      <c r="K30" s="88">
        <v>108.8</v>
      </c>
      <c r="L30" s="40">
        <v>108.4</v>
      </c>
      <c r="M30" s="34">
        <v>108.8</v>
      </c>
      <c r="N30" s="32">
        <v>108.8</v>
      </c>
      <c r="O30" s="85">
        <v>108.8</v>
      </c>
      <c r="P30" s="92">
        <v>110.4</v>
      </c>
      <c r="Q30" s="40">
        <v>108</v>
      </c>
      <c r="R30" s="34"/>
      <c r="S30" s="32">
        <v>209.8</v>
      </c>
      <c r="T30" s="91"/>
      <c r="U30" s="127"/>
      <c r="V30" s="88">
        <v>272.60000000000002</v>
      </c>
      <c r="W30" s="34">
        <v>190.9</v>
      </c>
      <c r="X30" s="91"/>
      <c r="Y30" s="51"/>
      <c r="Z30" s="32">
        <v>277.7</v>
      </c>
      <c r="AA30" s="85">
        <v>274.7</v>
      </c>
    </row>
    <row r="31" spans="1:27" x14ac:dyDescent="0.25">
      <c r="A31" s="114">
        <v>10</v>
      </c>
      <c r="B31" s="123">
        <v>2009</v>
      </c>
      <c r="C31" s="92">
        <v>108.9</v>
      </c>
      <c r="D31" s="34">
        <v>108.8</v>
      </c>
      <c r="E31" s="108">
        <v>108.9</v>
      </c>
      <c r="F31" s="92">
        <v>109.7</v>
      </c>
      <c r="G31" s="115">
        <v>108.4</v>
      </c>
      <c r="H31" s="108">
        <v>108.4</v>
      </c>
      <c r="I31" s="85"/>
      <c r="J31" s="34">
        <v>109.3</v>
      </c>
      <c r="K31" s="88">
        <v>108.8</v>
      </c>
      <c r="L31" s="40">
        <v>108.2</v>
      </c>
      <c r="M31" s="34">
        <v>108.7</v>
      </c>
      <c r="N31" s="32">
        <v>108.7</v>
      </c>
      <c r="O31" s="85">
        <v>108.7</v>
      </c>
      <c r="P31" s="92">
        <v>110.4</v>
      </c>
      <c r="Q31" s="40">
        <v>108.1</v>
      </c>
      <c r="R31" s="34"/>
      <c r="S31" s="32">
        <v>209.5</v>
      </c>
      <c r="T31" s="91"/>
      <c r="U31" s="127"/>
      <c r="V31" s="88">
        <v>257.7</v>
      </c>
      <c r="W31" s="34">
        <v>190.9</v>
      </c>
      <c r="X31" s="91"/>
      <c r="Y31" s="51"/>
      <c r="Z31" s="32">
        <v>265</v>
      </c>
      <c r="AA31" s="85">
        <v>261.89999999999998</v>
      </c>
    </row>
    <row r="32" spans="1:27" x14ac:dyDescent="0.25">
      <c r="A32" s="114">
        <v>11</v>
      </c>
      <c r="B32" s="123">
        <v>2009</v>
      </c>
      <c r="C32" s="92">
        <v>109</v>
      </c>
      <c r="D32" s="34">
        <v>108.8</v>
      </c>
      <c r="E32" s="108">
        <v>108.8</v>
      </c>
      <c r="F32" s="92">
        <v>109.6</v>
      </c>
      <c r="G32" s="115">
        <v>108.3</v>
      </c>
      <c r="H32" s="108">
        <v>108.4</v>
      </c>
      <c r="I32" s="85"/>
      <c r="J32" s="34">
        <v>109.4</v>
      </c>
      <c r="K32" s="88">
        <v>108.8</v>
      </c>
      <c r="L32" s="40">
        <v>108.2</v>
      </c>
      <c r="M32" s="34">
        <v>108.6</v>
      </c>
      <c r="N32" s="32">
        <v>108.7</v>
      </c>
      <c r="O32" s="85">
        <v>108.7</v>
      </c>
      <c r="P32" s="92">
        <v>110.4</v>
      </c>
      <c r="Q32" s="40">
        <v>108</v>
      </c>
      <c r="R32" s="34"/>
      <c r="S32" s="32">
        <v>209.8</v>
      </c>
      <c r="T32" s="91"/>
      <c r="U32" s="127"/>
      <c r="V32" s="88">
        <v>262.2</v>
      </c>
      <c r="W32" s="34">
        <v>188.1</v>
      </c>
      <c r="X32" s="91"/>
      <c r="Y32" s="51"/>
      <c r="Z32" s="32">
        <v>268.89999999999998</v>
      </c>
      <c r="AA32" s="85">
        <v>265.89999999999998</v>
      </c>
    </row>
    <row r="33" spans="1:27" x14ac:dyDescent="0.25">
      <c r="A33" s="114">
        <v>12</v>
      </c>
      <c r="B33" s="123">
        <v>2009</v>
      </c>
      <c r="C33" s="92">
        <v>109.7</v>
      </c>
      <c r="D33" s="34">
        <v>109</v>
      </c>
      <c r="E33" s="108">
        <v>109.1</v>
      </c>
      <c r="F33" s="92">
        <v>109.6</v>
      </c>
      <c r="G33" s="115">
        <v>108.4</v>
      </c>
      <c r="H33" s="108">
        <v>108.7</v>
      </c>
      <c r="I33" s="85"/>
      <c r="J33" s="34">
        <v>109.8</v>
      </c>
      <c r="K33" s="88">
        <v>108.5</v>
      </c>
      <c r="L33" s="40">
        <v>108.8</v>
      </c>
      <c r="M33" s="34">
        <v>108.8</v>
      </c>
      <c r="N33" s="32">
        <v>108.9</v>
      </c>
      <c r="O33" s="85">
        <v>108.9</v>
      </c>
      <c r="P33" s="92">
        <v>110.7</v>
      </c>
      <c r="Q33" s="40">
        <v>108.2</v>
      </c>
      <c r="R33" s="34"/>
      <c r="S33" s="32">
        <v>209.8</v>
      </c>
      <c r="T33" s="91"/>
      <c r="U33" s="127"/>
      <c r="V33" s="88">
        <v>275.39999999999998</v>
      </c>
      <c r="W33" s="34">
        <v>188.1</v>
      </c>
      <c r="X33" s="91"/>
      <c r="Y33" s="51"/>
      <c r="Z33" s="32">
        <v>278.89999999999998</v>
      </c>
      <c r="AA33" s="85">
        <v>275.89999999999998</v>
      </c>
    </row>
    <row r="34" spans="1:27" x14ac:dyDescent="0.25">
      <c r="A34" s="114">
        <v>1</v>
      </c>
      <c r="B34" s="123">
        <v>2010</v>
      </c>
      <c r="C34" s="92">
        <v>110</v>
      </c>
      <c r="D34" s="34">
        <v>109.2</v>
      </c>
      <c r="E34" s="108">
        <v>109.2</v>
      </c>
      <c r="F34" s="92">
        <v>109.9</v>
      </c>
      <c r="G34" s="115">
        <v>108.9</v>
      </c>
      <c r="H34" s="108">
        <v>109.2</v>
      </c>
      <c r="I34" s="85"/>
      <c r="J34" s="34">
        <v>110.2</v>
      </c>
      <c r="K34" s="88">
        <v>108.8</v>
      </c>
      <c r="L34" s="40">
        <v>109.2</v>
      </c>
      <c r="M34" s="34">
        <v>109.1</v>
      </c>
      <c r="N34" s="32">
        <v>109.2</v>
      </c>
      <c r="O34" s="85">
        <v>109.2</v>
      </c>
      <c r="P34" s="92">
        <v>111.1</v>
      </c>
      <c r="Q34" s="40">
        <v>108.3</v>
      </c>
      <c r="R34" s="34"/>
      <c r="S34" s="32">
        <v>212.5</v>
      </c>
      <c r="T34" s="91"/>
      <c r="U34" s="127"/>
      <c r="V34" s="88">
        <v>269.10000000000002</v>
      </c>
      <c r="W34" s="34">
        <v>188.1</v>
      </c>
      <c r="X34" s="91"/>
      <c r="Y34" s="51"/>
      <c r="Z34" s="32">
        <v>273.3</v>
      </c>
      <c r="AA34" s="85">
        <v>270.3</v>
      </c>
    </row>
    <row r="35" spans="1:27" x14ac:dyDescent="0.25">
      <c r="A35" s="114">
        <v>2</v>
      </c>
      <c r="B35" s="123">
        <v>2010</v>
      </c>
      <c r="C35" s="92">
        <v>110.4</v>
      </c>
      <c r="D35" s="34">
        <v>110</v>
      </c>
      <c r="E35" s="108">
        <v>110</v>
      </c>
      <c r="F35" s="92">
        <v>110.2</v>
      </c>
      <c r="G35" s="115">
        <v>109.4</v>
      </c>
      <c r="H35" s="108">
        <v>109.5</v>
      </c>
      <c r="I35" s="85"/>
      <c r="J35" s="34">
        <v>110.9</v>
      </c>
      <c r="K35" s="88">
        <v>109.5</v>
      </c>
      <c r="L35" s="40">
        <v>109.8</v>
      </c>
      <c r="M35" s="34">
        <v>110</v>
      </c>
      <c r="N35" s="32">
        <v>109.9</v>
      </c>
      <c r="O35" s="85">
        <v>109.9</v>
      </c>
      <c r="P35" s="92">
        <v>111.9</v>
      </c>
      <c r="Q35" s="40">
        <v>109.2</v>
      </c>
      <c r="R35" s="34"/>
      <c r="S35" s="32">
        <v>213</v>
      </c>
      <c r="T35" s="91"/>
      <c r="U35" s="127"/>
      <c r="V35" s="88">
        <v>276.39999999999998</v>
      </c>
      <c r="W35" s="34">
        <v>188</v>
      </c>
      <c r="X35" s="91"/>
      <c r="Y35" s="51"/>
      <c r="Z35" s="32">
        <v>277.3</v>
      </c>
      <c r="AA35" s="85">
        <v>274.3</v>
      </c>
    </row>
    <row r="36" spans="1:27" x14ac:dyDescent="0.25">
      <c r="A36" s="114">
        <v>3</v>
      </c>
      <c r="B36" s="123">
        <v>2010</v>
      </c>
      <c r="C36" s="158">
        <v>111.7</v>
      </c>
      <c r="D36" s="34">
        <v>111</v>
      </c>
      <c r="E36" s="108">
        <v>111</v>
      </c>
      <c r="F36" s="92">
        <v>110.8</v>
      </c>
      <c r="G36" s="115">
        <v>110.4</v>
      </c>
      <c r="H36" s="108">
        <v>110.4</v>
      </c>
      <c r="I36" s="85"/>
      <c r="J36" s="34">
        <v>111.9</v>
      </c>
      <c r="K36" s="88">
        <v>110.5</v>
      </c>
      <c r="L36" s="40">
        <v>110.9</v>
      </c>
      <c r="M36" s="34">
        <v>110.7</v>
      </c>
      <c r="N36" s="32">
        <v>110.9</v>
      </c>
      <c r="O36" s="85">
        <v>110.9</v>
      </c>
      <c r="P36" s="92">
        <v>112.7</v>
      </c>
      <c r="Q36" s="40">
        <v>109.9</v>
      </c>
      <c r="R36" s="34"/>
      <c r="S36" s="32">
        <v>213</v>
      </c>
      <c r="T36" s="91"/>
      <c r="U36" s="127"/>
      <c r="V36" s="88">
        <v>280.39999999999998</v>
      </c>
      <c r="W36" s="34">
        <v>188.9</v>
      </c>
      <c r="X36" s="91"/>
      <c r="Y36" s="51"/>
      <c r="Z36" s="32">
        <v>278.89999999999998</v>
      </c>
      <c r="AA36" s="85">
        <v>275.89999999999998</v>
      </c>
    </row>
    <row r="37" spans="1:27" x14ac:dyDescent="0.25">
      <c r="A37" s="114">
        <v>4</v>
      </c>
      <c r="B37" s="123">
        <v>2010</v>
      </c>
      <c r="C37" s="92">
        <v>112</v>
      </c>
      <c r="D37" s="34">
        <v>111.2</v>
      </c>
      <c r="E37" s="108">
        <v>111.4</v>
      </c>
      <c r="F37" s="92">
        <v>111.3</v>
      </c>
      <c r="G37" s="115">
        <v>110.3</v>
      </c>
      <c r="H37" s="108">
        <v>110.5</v>
      </c>
      <c r="I37" s="85"/>
      <c r="J37" s="34">
        <v>112.1</v>
      </c>
      <c r="K37" s="88">
        <v>110.7</v>
      </c>
      <c r="L37" s="40">
        <v>111.1</v>
      </c>
      <c r="M37" s="34">
        <v>110.9</v>
      </c>
      <c r="N37" s="32">
        <v>111.4</v>
      </c>
      <c r="O37" s="85">
        <v>111.4</v>
      </c>
      <c r="P37" s="92">
        <v>112.8</v>
      </c>
      <c r="Q37" s="40">
        <v>109.9</v>
      </c>
      <c r="R37" s="34"/>
      <c r="S37" s="32">
        <v>212.8</v>
      </c>
      <c r="T37" s="91"/>
      <c r="U37" s="127"/>
      <c r="V37" s="88">
        <v>296.5</v>
      </c>
      <c r="W37" s="34">
        <v>188.9</v>
      </c>
      <c r="X37" s="91"/>
      <c r="Y37" s="51"/>
      <c r="Z37" s="32">
        <v>298.3</v>
      </c>
      <c r="AA37" s="85">
        <v>295.5</v>
      </c>
    </row>
    <row r="38" spans="1:27" x14ac:dyDescent="0.25">
      <c r="A38" s="114">
        <v>5</v>
      </c>
      <c r="B38" s="123">
        <v>2010</v>
      </c>
      <c r="C38" s="92">
        <v>112.1</v>
      </c>
      <c r="D38" s="34">
        <v>111.4</v>
      </c>
      <c r="E38" s="108">
        <v>111.3</v>
      </c>
      <c r="F38" s="92">
        <v>111.5</v>
      </c>
      <c r="G38" s="115">
        <v>110.7</v>
      </c>
      <c r="H38" s="108">
        <v>110.7</v>
      </c>
      <c r="I38" s="85"/>
      <c r="J38" s="34">
        <v>112.2</v>
      </c>
      <c r="K38" s="88">
        <v>110.8</v>
      </c>
      <c r="L38" s="40">
        <v>111.2</v>
      </c>
      <c r="M38" s="34">
        <v>111.2</v>
      </c>
      <c r="N38" s="32">
        <v>111.4</v>
      </c>
      <c r="O38" s="85">
        <v>111.4</v>
      </c>
      <c r="P38" s="92">
        <v>113</v>
      </c>
      <c r="Q38" s="40">
        <v>110.3</v>
      </c>
      <c r="R38" s="34"/>
      <c r="S38" s="32">
        <v>215.4</v>
      </c>
      <c r="T38" s="91"/>
      <c r="U38" s="127"/>
      <c r="V38" s="88">
        <v>304.39999999999998</v>
      </c>
      <c r="W38" s="34">
        <v>187.6</v>
      </c>
      <c r="X38" s="91"/>
      <c r="Y38" s="51"/>
      <c r="Z38" s="32">
        <v>309.8</v>
      </c>
      <c r="AA38" s="85">
        <v>306.7</v>
      </c>
    </row>
    <row r="39" spans="1:27" x14ac:dyDescent="0.25">
      <c r="A39" s="114">
        <v>6</v>
      </c>
      <c r="B39" s="123">
        <v>2010</v>
      </c>
      <c r="C39" s="92">
        <v>112</v>
      </c>
      <c r="D39" s="34">
        <v>111.7</v>
      </c>
      <c r="E39" s="108">
        <v>111.4</v>
      </c>
      <c r="F39" s="92">
        <v>111.1</v>
      </c>
      <c r="G39" s="115">
        <v>110.9</v>
      </c>
      <c r="H39" s="108">
        <v>110.7</v>
      </c>
      <c r="I39" s="85"/>
      <c r="J39" s="34">
        <v>112.5</v>
      </c>
      <c r="K39" s="88">
        <v>111</v>
      </c>
      <c r="L39" s="40">
        <v>110.9</v>
      </c>
      <c r="M39" s="34">
        <v>111.1</v>
      </c>
      <c r="N39" s="32">
        <v>111.5</v>
      </c>
      <c r="O39" s="85">
        <v>111.5</v>
      </c>
      <c r="P39" s="92">
        <v>113.2</v>
      </c>
      <c r="Q39" s="40">
        <v>110.4</v>
      </c>
      <c r="R39" s="34"/>
      <c r="S39" s="32">
        <v>216.7</v>
      </c>
      <c r="T39" s="91"/>
      <c r="U39" s="127"/>
      <c r="V39" s="88">
        <v>300.5</v>
      </c>
      <c r="W39" s="34">
        <v>187.4</v>
      </c>
      <c r="X39" s="91"/>
      <c r="Y39" s="51"/>
      <c r="Z39" s="32">
        <v>303.89999999999998</v>
      </c>
      <c r="AA39" s="85">
        <v>301.10000000000002</v>
      </c>
    </row>
    <row r="40" spans="1:27" x14ac:dyDescent="0.25">
      <c r="A40" s="114">
        <v>7</v>
      </c>
      <c r="B40" s="123">
        <v>2010</v>
      </c>
      <c r="C40" s="92">
        <v>112.5</v>
      </c>
      <c r="D40" s="34">
        <v>112.5</v>
      </c>
      <c r="E40" s="108">
        <v>112</v>
      </c>
      <c r="F40" s="92">
        <v>112.7</v>
      </c>
      <c r="G40" s="115">
        <v>111.9</v>
      </c>
      <c r="H40" s="108">
        <v>110.9</v>
      </c>
      <c r="I40" s="85"/>
      <c r="J40" s="34">
        <v>113.2</v>
      </c>
      <c r="K40" s="88">
        <v>111.5</v>
      </c>
      <c r="L40" s="40">
        <v>112.2</v>
      </c>
      <c r="M40" s="34">
        <v>111.6</v>
      </c>
      <c r="N40" s="32">
        <v>112.5</v>
      </c>
      <c r="O40" s="85">
        <v>112.5</v>
      </c>
      <c r="P40" s="92">
        <v>113.2</v>
      </c>
      <c r="Q40" s="40">
        <v>110.9</v>
      </c>
      <c r="R40" s="34"/>
      <c r="S40" s="32">
        <v>214.1</v>
      </c>
      <c r="T40" s="91"/>
      <c r="U40" s="127"/>
      <c r="V40" s="88">
        <v>296</v>
      </c>
      <c r="W40" s="34">
        <v>187.2</v>
      </c>
      <c r="X40" s="91"/>
      <c r="Y40" s="51"/>
      <c r="Z40" s="32">
        <v>297.89999999999998</v>
      </c>
      <c r="AA40" s="85">
        <v>295.10000000000002</v>
      </c>
    </row>
    <row r="41" spans="1:27" x14ac:dyDescent="0.25">
      <c r="A41" s="114">
        <v>8</v>
      </c>
      <c r="B41" s="123">
        <v>2010</v>
      </c>
      <c r="C41" s="92">
        <v>112.5</v>
      </c>
      <c r="D41" s="34">
        <v>112.4</v>
      </c>
      <c r="E41" s="108">
        <v>112</v>
      </c>
      <c r="F41" s="92">
        <v>112.8</v>
      </c>
      <c r="G41" s="115">
        <v>112.1</v>
      </c>
      <c r="H41" s="108">
        <v>110.9</v>
      </c>
      <c r="I41" s="85"/>
      <c r="J41" s="34">
        <v>113.1</v>
      </c>
      <c r="K41" s="88">
        <v>111.7</v>
      </c>
      <c r="L41" s="40">
        <v>112.1</v>
      </c>
      <c r="M41" s="34">
        <v>111.7</v>
      </c>
      <c r="N41" s="32">
        <v>112.7</v>
      </c>
      <c r="O41" s="85">
        <v>112.7</v>
      </c>
      <c r="P41" s="92">
        <v>114</v>
      </c>
      <c r="Q41" s="40">
        <v>111</v>
      </c>
      <c r="R41" s="34"/>
      <c r="S41" s="32">
        <v>212.6</v>
      </c>
      <c r="T41" s="91"/>
      <c r="U41" s="127"/>
      <c r="V41" s="88">
        <v>293.10000000000002</v>
      </c>
      <c r="W41" s="34">
        <v>186.7</v>
      </c>
      <c r="X41" s="91"/>
      <c r="Y41" s="51"/>
      <c r="Z41" s="32">
        <v>292.7</v>
      </c>
      <c r="AA41" s="85">
        <v>289.89999999999998</v>
      </c>
    </row>
    <row r="42" spans="1:27" x14ac:dyDescent="0.25">
      <c r="A42" s="114">
        <v>9</v>
      </c>
      <c r="B42" s="123">
        <v>2010</v>
      </c>
      <c r="C42" s="92">
        <v>112.6</v>
      </c>
      <c r="D42" s="34">
        <v>112.7</v>
      </c>
      <c r="E42" s="108">
        <v>112</v>
      </c>
      <c r="F42" s="92">
        <v>113</v>
      </c>
      <c r="G42" s="115">
        <v>112.7</v>
      </c>
      <c r="H42" s="108">
        <v>110.7</v>
      </c>
      <c r="I42" s="85"/>
      <c r="J42" s="34">
        <v>113.5</v>
      </c>
      <c r="K42" s="88">
        <v>111.7</v>
      </c>
      <c r="L42" s="40">
        <v>112</v>
      </c>
      <c r="M42" s="34">
        <v>111.8</v>
      </c>
      <c r="N42" s="32">
        <v>113.3</v>
      </c>
      <c r="O42" s="85">
        <v>113.3</v>
      </c>
      <c r="P42" s="92">
        <v>114.2</v>
      </c>
      <c r="Q42" s="40">
        <v>111.4</v>
      </c>
      <c r="R42" s="34"/>
      <c r="S42" s="32">
        <v>212.6</v>
      </c>
      <c r="T42" s="91"/>
      <c r="U42" s="127"/>
      <c r="V42" s="88">
        <v>290.60000000000002</v>
      </c>
      <c r="W42" s="34">
        <v>186.7</v>
      </c>
      <c r="X42" s="91"/>
      <c r="Y42" s="51"/>
      <c r="Z42" s="32">
        <v>292.7</v>
      </c>
      <c r="AA42" s="85">
        <v>289.89999999999998</v>
      </c>
    </row>
    <row r="43" spans="1:27" x14ac:dyDescent="0.25">
      <c r="A43" s="114">
        <v>10</v>
      </c>
      <c r="B43" s="123">
        <v>2010</v>
      </c>
      <c r="C43" s="92">
        <v>112.8</v>
      </c>
      <c r="D43" s="34">
        <v>112.8</v>
      </c>
      <c r="E43" s="108">
        <v>112.3</v>
      </c>
      <c r="F43" s="92">
        <v>113.3</v>
      </c>
      <c r="G43" s="115">
        <v>112.6</v>
      </c>
      <c r="H43" s="108">
        <v>110.9</v>
      </c>
      <c r="I43" s="85"/>
      <c r="J43" s="34">
        <v>113.6</v>
      </c>
      <c r="K43" s="88">
        <v>111.9</v>
      </c>
      <c r="L43" s="40">
        <v>112.3</v>
      </c>
      <c r="M43" s="34">
        <v>111.9</v>
      </c>
      <c r="N43" s="32">
        <v>113.5</v>
      </c>
      <c r="O43" s="85">
        <v>113.5</v>
      </c>
      <c r="P43" s="92">
        <v>114.8</v>
      </c>
      <c r="Q43" s="40">
        <v>111.9</v>
      </c>
      <c r="R43" s="34"/>
      <c r="S43" s="32">
        <v>213.7</v>
      </c>
      <c r="T43" s="91">
        <v>248.8</v>
      </c>
      <c r="U43" s="127">
        <v>264.60000000000002</v>
      </c>
      <c r="V43" s="88">
        <v>291.3</v>
      </c>
      <c r="W43" s="34">
        <v>186.8</v>
      </c>
      <c r="X43" s="91">
        <v>205.1</v>
      </c>
      <c r="Y43" s="51">
        <v>189.4</v>
      </c>
      <c r="Z43" s="32">
        <v>291.60000000000002</v>
      </c>
      <c r="AA43" s="85">
        <v>288.7</v>
      </c>
    </row>
    <row r="44" spans="1:27" x14ac:dyDescent="0.25">
      <c r="A44" s="114">
        <v>11</v>
      </c>
      <c r="B44" s="123">
        <v>2010</v>
      </c>
      <c r="C44" s="92">
        <v>112.9</v>
      </c>
      <c r="D44" s="34">
        <v>113.1</v>
      </c>
      <c r="E44" s="108">
        <v>112.3</v>
      </c>
      <c r="F44" s="92">
        <v>113.3</v>
      </c>
      <c r="G44" s="115">
        <v>112.8</v>
      </c>
      <c r="H44" s="108">
        <v>111</v>
      </c>
      <c r="I44" s="85"/>
      <c r="J44" s="34">
        <v>113.9</v>
      </c>
      <c r="K44" s="88">
        <v>112.1</v>
      </c>
      <c r="L44" s="40">
        <v>112.5</v>
      </c>
      <c r="M44" s="34">
        <v>112.2</v>
      </c>
      <c r="N44" s="32">
        <v>113.6</v>
      </c>
      <c r="O44" s="85">
        <v>113.6</v>
      </c>
      <c r="P44" s="92">
        <v>114.6</v>
      </c>
      <c r="Q44" s="40">
        <v>112.1</v>
      </c>
      <c r="R44" s="34"/>
      <c r="S44" s="32">
        <v>212.9</v>
      </c>
      <c r="T44" s="91">
        <v>248.7</v>
      </c>
      <c r="U44" s="127">
        <v>264.7</v>
      </c>
      <c r="V44" s="88">
        <v>299</v>
      </c>
      <c r="W44" s="34">
        <v>187.5</v>
      </c>
      <c r="X44" s="91">
        <v>205.4</v>
      </c>
      <c r="Y44" s="51">
        <v>190.1</v>
      </c>
      <c r="Z44" s="32">
        <v>301.5</v>
      </c>
      <c r="AA44" s="85">
        <v>298.7</v>
      </c>
    </row>
    <row r="45" spans="1:27" x14ac:dyDescent="0.25">
      <c r="A45" s="114">
        <v>12</v>
      </c>
      <c r="B45" s="123">
        <v>2010</v>
      </c>
      <c r="C45" s="92">
        <v>113.2</v>
      </c>
      <c r="D45" s="34">
        <v>113.2</v>
      </c>
      <c r="E45" s="108">
        <v>112.5</v>
      </c>
      <c r="F45" s="92">
        <v>113.3</v>
      </c>
      <c r="G45" s="115">
        <v>113.1</v>
      </c>
      <c r="H45" s="108">
        <v>111.2</v>
      </c>
      <c r="I45" s="85"/>
      <c r="J45" s="34">
        <v>114</v>
      </c>
      <c r="K45" s="88">
        <v>112.3</v>
      </c>
      <c r="L45" s="40">
        <v>113</v>
      </c>
      <c r="M45" s="34">
        <v>112.2</v>
      </c>
      <c r="N45" s="32">
        <v>113.8</v>
      </c>
      <c r="O45" s="85">
        <v>113.8</v>
      </c>
      <c r="P45" s="92">
        <v>114.6</v>
      </c>
      <c r="Q45" s="40">
        <v>112.1</v>
      </c>
      <c r="R45" s="34"/>
      <c r="S45" s="32">
        <v>213.1</v>
      </c>
      <c r="T45" s="91">
        <v>248.5</v>
      </c>
      <c r="U45" s="127">
        <v>266.2</v>
      </c>
      <c r="V45" s="88">
        <v>309.39999999999998</v>
      </c>
      <c r="W45" s="34">
        <v>185.8</v>
      </c>
      <c r="X45" s="91">
        <v>201.5</v>
      </c>
      <c r="Y45" s="51">
        <v>189.2</v>
      </c>
      <c r="Z45" s="32">
        <v>301.5</v>
      </c>
      <c r="AA45" s="85">
        <v>298.7</v>
      </c>
    </row>
    <row r="46" spans="1:27" x14ac:dyDescent="0.25">
      <c r="A46" s="114">
        <v>1</v>
      </c>
      <c r="B46" s="123">
        <v>2011</v>
      </c>
      <c r="C46" s="92">
        <v>113.7</v>
      </c>
      <c r="D46" s="34">
        <v>113.8</v>
      </c>
      <c r="E46" s="108">
        <v>112.9</v>
      </c>
      <c r="F46" s="92">
        <v>114.2</v>
      </c>
      <c r="G46" s="115">
        <v>113.7</v>
      </c>
      <c r="H46" s="108">
        <v>111.7</v>
      </c>
      <c r="I46" s="85"/>
      <c r="J46" s="34">
        <v>114.1</v>
      </c>
      <c r="K46" s="88">
        <v>112.7</v>
      </c>
      <c r="L46" s="40">
        <v>113.6</v>
      </c>
      <c r="M46" s="34">
        <v>113</v>
      </c>
      <c r="N46" s="32">
        <v>114.6</v>
      </c>
      <c r="O46" s="85">
        <v>114.6</v>
      </c>
      <c r="P46" s="92">
        <v>115.3</v>
      </c>
      <c r="Q46" s="40">
        <v>113</v>
      </c>
      <c r="R46" s="34"/>
      <c r="S46" s="32">
        <v>215.4</v>
      </c>
      <c r="T46" s="91">
        <v>250.3</v>
      </c>
      <c r="U46" s="127">
        <v>266.7</v>
      </c>
      <c r="V46" s="88">
        <v>321</v>
      </c>
      <c r="W46" s="34">
        <v>184.2</v>
      </c>
      <c r="X46" s="91">
        <v>201.9</v>
      </c>
      <c r="Y46" s="51">
        <v>189</v>
      </c>
      <c r="Z46" s="32">
        <v>311</v>
      </c>
      <c r="AA46" s="85">
        <v>307.89999999999998</v>
      </c>
    </row>
    <row r="47" spans="1:27" x14ac:dyDescent="0.25">
      <c r="A47" s="114">
        <v>2</v>
      </c>
      <c r="B47" s="123">
        <v>2011</v>
      </c>
      <c r="C47" s="92">
        <v>114.5</v>
      </c>
      <c r="D47" s="34">
        <v>114.7</v>
      </c>
      <c r="E47" s="108">
        <v>113.8</v>
      </c>
      <c r="F47" s="92">
        <v>114.9</v>
      </c>
      <c r="G47" s="115">
        <v>114.5</v>
      </c>
      <c r="H47" s="108">
        <v>112.4</v>
      </c>
      <c r="I47" s="85"/>
      <c r="J47" s="34">
        <v>114.8</v>
      </c>
      <c r="K47" s="88">
        <v>113.4</v>
      </c>
      <c r="L47" s="40">
        <v>114.3</v>
      </c>
      <c r="M47" s="34">
        <v>113.9</v>
      </c>
      <c r="N47" s="32">
        <v>115.4</v>
      </c>
      <c r="O47" s="85">
        <v>115.4</v>
      </c>
      <c r="P47" s="92">
        <v>116.1</v>
      </c>
      <c r="Q47" s="40">
        <v>113.8</v>
      </c>
      <c r="R47" s="34"/>
      <c r="S47" s="32">
        <v>215.9</v>
      </c>
      <c r="T47" s="91">
        <v>257.89999999999998</v>
      </c>
      <c r="U47" s="127">
        <v>272.2</v>
      </c>
      <c r="V47" s="88">
        <v>350.9</v>
      </c>
      <c r="W47" s="34">
        <v>186.6</v>
      </c>
      <c r="X47" s="91">
        <v>202.7</v>
      </c>
      <c r="Y47" s="51">
        <v>190.4</v>
      </c>
      <c r="Z47" s="32">
        <v>322.89999999999998</v>
      </c>
      <c r="AA47" s="85">
        <v>319.89999999999998</v>
      </c>
    </row>
    <row r="48" spans="1:27" x14ac:dyDescent="0.25">
      <c r="A48" s="114">
        <v>3</v>
      </c>
      <c r="B48" s="123">
        <v>2011</v>
      </c>
      <c r="C48" s="92">
        <v>116</v>
      </c>
      <c r="D48" s="34">
        <v>116.1</v>
      </c>
      <c r="E48" s="108">
        <v>115</v>
      </c>
      <c r="F48" s="92">
        <v>116.4</v>
      </c>
      <c r="G48" s="115">
        <v>115.5</v>
      </c>
      <c r="H48" s="108">
        <v>113.5</v>
      </c>
      <c r="I48" s="85"/>
      <c r="J48" s="34">
        <v>116.1</v>
      </c>
      <c r="K48" s="88">
        <v>114.6</v>
      </c>
      <c r="L48" s="40">
        <v>115.9</v>
      </c>
      <c r="M48" s="34">
        <v>115.2</v>
      </c>
      <c r="N48" s="32">
        <v>116.9</v>
      </c>
      <c r="O48" s="85">
        <v>116.9</v>
      </c>
      <c r="P48" s="92">
        <v>116.9</v>
      </c>
      <c r="Q48" s="40">
        <v>115.4</v>
      </c>
      <c r="R48" s="34"/>
      <c r="S48" s="32">
        <v>217.4</v>
      </c>
      <c r="T48" s="91">
        <v>261.5</v>
      </c>
      <c r="U48" s="127">
        <v>283.10000000000002</v>
      </c>
      <c r="V48" s="88">
        <v>374.2</v>
      </c>
      <c r="W48" s="34">
        <v>187.3</v>
      </c>
      <c r="X48" s="91">
        <v>204</v>
      </c>
      <c r="Y48" s="51">
        <v>191.3</v>
      </c>
      <c r="Z48" s="32">
        <v>348.3</v>
      </c>
      <c r="AA48" s="85">
        <v>345.5</v>
      </c>
    </row>
    <row r="49" spans="1:27" x14ac:dyDescent="0.25">
      <c r="A49" s="114">
        <v>4</v>
      </c>
      <c r="B49" s="123">
        <v>2011</v>
      </c>
      <c r="C49" s="92">
        <v>116.3</v>
      </c>
      <c r="D49" s="34">
        <v>116.4</v>
      </c>
      <c r="E49" s="108">
        <v>115.3</v>
      </c>
      <c r="F49" s="92">
        <v>116.7</v>
      </c>
      <c r="G49" s="115">
        <v>116.1</v>
      </c>
      <c r="H49" s="108">
        <v>114</v>
      </c>
      <c r="I49" s="85"/>
      <c r="J49" s="34">
        <v>116.6</v>
      </c>
      <c r="K49" s="88">
        <v>114.8</v>
      </c>
      <c r="L49" s="40">
        <v>116.4</v>
      </c>
      <c r="M49" s="34">
        <v>115.6</v>
      </c>
      <c r="N49" s="32">
        <v>117.4</v>
      </c>
      <c r="O49" s="85">
        <v>117.4</v>
      </c>
      <c r="P49" s="92">
        <v>117.1</v>
      </c>
      <c r="Q49" s="40">
        <v>115.6</v>
      </c>
      <c r="R49" s="34"/>
      <c r="S49" s="32">
        <v>216</v>
      </c>
      <c r="T49" s="91">
        <v>261.60000000000002</v>
      </c>
      <c r="U49" s="127">
        <v>292.7</v>
      </c>
      <c r="V49" s="88">
        <v>396.8</v>
      </c>
      <c r="W49" s="34">
        <v>187.5</v>
      </c>
      <c r="X49" s="91">
        <v>204</v>
      </c>
      <c r="Y49" s="51">
        <v>191.8</v>
      </c>
      <c r="Z49" s="32">
        <v>376.1</v>
      </c>
      <c r="AA49" s="85">
        <v>371.1</v>
      </c>
    </row>
    <row r="50" spans="1:27" x14ac:dyDescent="0.25">
      <c r="A50" s="114">
        <v>5</v>
      </c>
      <c r="B50" s="123">
        <v>2011</v>
      </c>
      <c r="C50" s="92">
        <v>116.9</v>
      </c>
      <c r="D50" s="34">
        <v>116.9</v>
      </c>
      <c r="E50" s="108">
        <v>115.9</v>
      </c>
      <c r="F50" s="92">
        <v>117.1</v>
      </c>
      <c r="G50" s="115">
        <v>116.5</v>
      </c>
      <c r="H50" s="108">
        <v>114.7</v>
      </c>
      <c r="I50" s="85"/>
      <c r="J50" s="34">
        <v>117.2</v>
      </c>
      <c r="K50" s="88">
        <v>115.4</v>
      </c>
      <c r="L50" s="40">
        <v>117</v>
      </c>
      <c r="M50" s="34">
        <v>116.1</v>
      </c>
      <c r="N50" s="96">
        <v>117.8</v>
      </c>
      <c r="O50" s="116">
        <v>117.8</v>
      </c>
      <c r="P50" s="92">
        <v>117.7</v>
      </c>
      <c r="Q50" s="40">
        <v>116.3</v>
      </c>
      <c r="R50" s="34"/>
      <c r="S50" s="32">
        <v>215.7</v>
      </c>
      <c r="T50" s="91">
        <v>261.3</v>
      </c>
      <c r="U50" s="127">
        <v>294</v>
      </c>
      <c r="V50" s="88">
        <v>392.3</v>
      </c>
      <c r="W50" s="34">
        <v>187.5</v>
      </c>
      <c r="X50" s="91">
        <v>205.5</v>
      </c>
      <c r="Y50" s="51">
        <v>193.3</v>
      </c>
      <c r="Z50" s="32">
        <v>382.4</v>
      </c>
      <c r="AA50" s="85">
        <v>377.5</v>
      </c>
    </row>
    <row r="51" spans="1:27" x14ac:dyDescent="0.25">
      <c r="A51" s="114">
        <v>6</v>
      </c>
      <c r="B51" s="123">
        <v>2011</v>
      </c>
      <c r="C51" s="92">
        <v>117.3</v>
      </c>
      <c r="D51" s="34">
        <v>117.1</v>
      </c>
      <c r="E51" s="108">
        <v>116.6</v>
      </c>
      <c r="F51" s="92">
        <v>117.4</v>
      </c>
      <c r="G51" s="115">
        <v>117.2</v>
      </c>
      <c r="H51" s="108">
        <v>115.3</v>
      </c>
      <c r="I51" s="85"/>
      <c r="J51" s="34">
        <v>117.5</v>
      </c>
      <c r="K51" s="88">
        <v>116</v>
      </c>
      <c r="L51" s="40">
        <v>117.8</v>
      </c>
      <c r="M51" s="34">
        <v>116.9</v>
      </c>
      <c r="N51" s="96">
        <v>118.2</v>
      </c>
      <c r="O51" s="116">
        <v>118.2</v>
      </c>
      <c r="P51" s="92">
        <v>117.8</v>
      </c>
      <c r="Q51" s="40">
        <v>116.6</v>
      </c>
      <c r="R51" s="34"/>
      <c r="S51" s="32">
        <v>216.1</v>
      </c>
      <c r="T51" s="91">
        <v>265.2</v>
      </c>
      <c r="U51" s="127">
        <v>294.39999999999998</v>
      </c>
      <c r="V51" s="88">
        <v>380.9</v>
      </c>
      <c r="W51" s="34">
        <v>188.8</v>
      </c>
      <c r="X51" s="91">
        <v>205.5</v>
      </c>
      <c r="Y51" s="51">
        <v>194</v>
      </c>
      <c r="Z51" s="32">
        <v>367.3</v>
      </c>
      <c r="AA51" s="85">
        <v>362.3</v>
      </c>
    </row>
    <row r="52" spans="1:27" x14ac:dyDescent="0.25">
      <c r="A52" s="114">
        <v>7</v>
      </c>
      <c r="B52" s="123">
        <v>2011</v>
      </c>
      <c r="C52" s="92">
        <v>118.1</v>
      </c>
      <c r="D52" s="34">
        <v>118.4</v>
      </c>
      <c r="E52" s="108">
        <v>117.5</v>
      </c>
      <c r="F52" s="92">
        <v>119.9</v>
      </c>
      <c r="G52" s="115">
        <v>118.2</v>
      </c>
      <c r="H52" s="108">
        <v>116.2</v>
      </c>
      <c r="I52" s="85"/>
      <c r="J52" s="34">
        <v>118.4</v>
      </c>
      <c r="K52" s="88">
        <v>116.9</v>
      </c>
      <c r="L52" s="40">
        <v>118.9</v>
      </c>
      <c r="M52" s="34">
        <v>117.8</v>
      </c>
      <c r="N52" s="96">
        <v>119.9</v>
      </c>
      <c r="O52" s="116">
        <v>119.9</v>
      </c>
      <c r="P52" s="92">
        <v>119</v>
      </c>
      <c r="Q52" s="40">
        <v>117.1</v>
      </c>
      <c r="R52" s="34"/>
      <c r="S52" s="32">
        <v>219</v>
      </c>
      <c r="T52" s="91">
        <v>267.7</v>
      </c>
      <c r="U52" s="127">
        <v>296.2</v>
      </c>
      <c r="V52" s="88">
        <v>378.3</v>
      </c>
      <c r="W52" s="34">
        <v>189.2</v>
      </c>
      <c r="X52" s="91">
        <v>210.1</v>
      </c>
      <c r="Y52" s="51">
        <v>193.9</v>
      </c>
      <c r="Z52" s="32">
        <v>363</v>
      </c>
      <c r="AA52" s="85">
        <v>357.9</v>
      </c>
    </row>
    <row r="53" spans="1:27" x14ac:dyDescent="0.25">
      <c r="A53" s="114">
        <v>8</v>
      </c>
      <c r="B53" s="123">
        <v>2011</v>
      </c>
      <c r="C53" s="92">
        <v>118.4</v>
      </c>
      <c r="D53" s="34">
        <v>118.6</v>
      </c>
      <c r="E53" s="108">
        <v>117.7</v>
      </c>
      <c r="F53" s="92">
        <v>120.3</v>
      </c>
      <c r="G53" s="115">
        <v>118.4</v>
      </c>
      <c r="H53" s="108">
        <v>116.5</v>
      </c>
      <c r="I53" s="85"/>
      <c r="J53" s="34">
        <v>118.7</v>
      </c>
      <c r="K53" s="88">
        <v>117</v>
      </c>
      <c r="L53" s="40">
        <v>119.1</v>
      </c>
      <c r="M53" s="34">
        <v>118.2</v>
      </c>
      <c r="N53" s="96">
        <v>120.2</v>
      </c>
      <c r="O53" s="116">
        <v>120.2</v>
      </c>
      <c r="P53" s="92">
        <v>119.1</v>
      </c>
      <c r="Q53" s="40">
        <v>117.6</v>
      </c>
      <c r="R53" s="34"/>
      <c r="S53" s="32">
        <v>219.7</v>
      </c>
      <c r="T53" s="91">
        <v>268.8</v>
      </c>
      <c r="U53" s="127">
        <v>296.89999999999998</v>
      </c>
      <c r="V53" s="88">
        <v>377.7</v>
      </c>
      <c r="W53" s="34">
        <v>189.3</v>
      </c>
      <c r="X53" s="91">
        <v>214.1</v>
      </c>
      <c r="Y53" s="51">
        <v>194.3</v>
      </c>
      <c r="Z53" s="32">
        <v>368.9</v>
      </c>
      <c r="AA53" s="86">
        <v>363.9</v>
      </c>
    </row>
    <row r="54" spans="1:27" x14ac:dyDescent="0.25">
      <c r="A54" s="114">
        <v>9</v>
      </c>
      <c r="B54" s="123">
        <v>2011</v>
      </c>
      <c r="C54" s="92">
        <v>118.9</v>
      </c>
      <c r="D54" s="34">
        <v>119.1</v>
      </c>
      <c r="E54" s="108">
        <v>118.1</v>
      </c>
      <c r="F54" s="92">
        <v>120.8</v>
      </c>
      <c r="G54" s="115">
        <v>118.7</v>
      </c>
      <c r="H54" s="108">
        <v>116.8</v>
      </c>
      <c r="I54" s="85"/>
      <c r="J54" s="34">
        <v>119.1</v>
      </c>
      <c r="K54" s="88">
        <v>117.1</v>
      </c>
      <c r="L54" s="40">
        <v>119.5</v>
      </c>
      <c r="M54" s="34">
        <v>118.4</v>
      </c>
      <c r="N54" s="96">
        <v>120.8</v>
      </c>
      <c r="O54" s="116">
        <v>120.8</v>
      </c>
      <c r="P54" s="92">
        <v>119.7</v>
      </c>
      <c r="Q54" s="40">
        <v>118</v>
      </c>
      <c r="R54" s="34"/>
      <c r="S54" s="32">
        <v>220.2</v>
      </c>
      <c r="T54" s="91">
        <v>272.60000000000002</v>
      </c>
      <c r="U54" s="127">
        <v>294.89999999999998</v>
      </c>
      <c r="V54" s="88">
        <v>377.7</v>
      </c>
      <c r="W54" s="34">
        <v>189.1</v>
      </c>
      <c r="X54" s="91">
        <v>213.8</v>
      </c>
      <c r="Y54" s="51">
        <v>194.3</v>
      </c>
      <c r="Z54" s="32">
        <v>368.9</v>
      </c>
      <c r="AA54" s="86">
        <v>363.9</v>
      </c>
    </row>
    <row r="55" spans="1:27" x14ac:dyDescent="0.25">
      <c r="A55" s="114">
        <v>10</v>
      </c>
      <c r="B55" s="123">
        <v>2011</v>
      </c>
      <c r="C55" s="92">
        <v>119.4</v>
      </c>
      <c r="D55" s="34">
        <v>119.7</v>
      </c>
      <c r="E55" s="108">
        <v>118.9</v>
      </c>
      <c r="F55" s="92">
        <v>121.7</v>
      </c>
      <c r="G55" s="115">
        <v>119.4</v>
      </c>
      <c r="H55" s="108">
        <v>117.7</v>
      </c>
      <c r="I55" s="85"/>
      <c r="J55" s="34">
        <v>119.7</v>
      </c>
      <c r="K55" s="88">
        <v>117.8</v>
      </c>
      <c r="L55" s="40">
        <v>120.2</v>
      </c>
      <c r="M55" s="34">
        <v>119.3</v>
      </c>
      <c r="N55" s="96">
        <v>121.5</v>
      </c>
      <c r="O55" s="116">
        <v>121.5</v>
      </c>
      <c r="P55" s="92">
        <v>120.4</v>
      </c>
      <c r="Q55" s="40">
        <v>118.8</v>
      </c>
      <c r="R55" s="34"/>
      <c r="S55" s="32">
        <v>221.6</v>
      </c>
      <c r="T55" s="91">
        <v>276.89999999999998</v>
      </c>
      <c r="U55" s="127">
        <v>296.3</v>
      </c>
      <c r="V55" s="88">
        <v>392.4</v>
      </c>
      <c r="W55" s="34">
        <v>187.6</v>
      </c>
      <c r="X55" s="91">
        <v>213.2</v>
      </c>
      <c r="Y55" s="51">
        <v>193.9</v>
      </c>
      <c r="Z55" s="32">
        <v>382.8</v>
      </c>
      <c r="AA55" s="85">
        <v>377.9</v>
      </c>
    </row>
    <row r="56" spans="1:27" x14ac:dyDescent="0.25">
      <c r="A56" s="114">
        <v>11</v>
      </c>
      <c r="B56" s="123">
        <v>2011</v>
      </c>
      <c r="C56" s="92">
        <v>119.5</v>
      </c>
      <c r="D56" s="34">
        <v>120.1</v>
      </c>
      <c r="E56" s="108">
        <v>119.2</v>
      </c>
      <c r="F56" s="92">
        <v>122.1</v>
      </c>
      <c r="G56" s="115">
        <v>119.9</v>
      </c>
      <c r="H56" s="108">
        <v>118.1</v>
      </c>
      <c r="I56" s="85"/>
      <c r="J56" s="34">
        <v>120.1</v>
      </c>
      <c r="K56" s="88">
        <v>117.9</v>
      </c>
      <c r="L56" s="40">
        <v>120.6</v>
      </c>
      <c r="M56" s="34">
        <v>119.4</v>
      </c>
      <c r="N56" s="96">
        <v>121.8</v>
      </c>
      <c r="O56" s="116">
        <v>121.8</v>
      </c>
      <c r="P56" s="92">
        <v>120.5</v>
      </c>
      <c r="Q56" s="40">
        <v>118.9</v>
      </c>
      <c r="R56" s="34"/>
      <c r="S56" s="32">
        <v>223.2</v>
      </c>
      <c r="T56" s="91">
        <v>286.2</v>
      </c>
      <c r="U56" s="127">
        <v>303.7</v>
      </c>
      <c r="V56" s="88">
        <v>413.1</v>
      </c>
      <c r="W56" s="34">
        <v>187.7</v>
      </c>
      <c r="X56" s="91">
        <v>213.4</v>
      </c>
      <c r="Y56" s="51">
        <v>194.3</v>
      </c>
      <c r="Z56" s="32">
        <v>397.1</v>
      </c>
      <c r="AA56" s="85">
        <v>392.3</v>
      </c>
    </row>
    <row r="57" spans="1:27" x14ac:dyDescent="0.25">
      <c r="A57" s="114">
        <v>12</v>
      </c>
      <c r="B57" s="123">
        <v>2011</v>
      </c>
      <c r="C57" s="92">
        <v>119.7</v>
      </c>
      <c r="D57" s="34">
        <v>120.3</v>
      </c>
      <c r="E57" s="108">
        <v>119.4</v>
      </c>
      <c r="F57" s="92">
        <v>122.4</v>
      </c>
      <c r="G57" s="115">
        <v>120.1</v>
      </c>
      <c r="H57" s="108">
        <v>118.4</v>
      </c>
      <c r="I57" s="85"/>
      <c r="J57" s="34">
        <v>120.3</v>
      </c>
      <c r="K57" s="88">
        <v>118</v>
      </c>
      <c r="L57" s="40">
        <v>120.8</v>
      </c>
      <c r="M57" s="34">
        <v>119.7</v>
      </c>
      <c r="N57" s="96">
        <v>122.3</v>
      </c>
      <c r="O57" s="116">
        <v>122.3</v>
      </c>
      <c r="P57" s="92">
        <v>120.9</v>
      </c>
      <c r="Q57" s="40">
        <v>119.2</v>
      </c>
      <c r="R57" s="34"/>
      <c r="S57" s="32">
        <v>223.6</v>
      </c>
      <c r="T57" s="91">
        <v>286.5</v>
      </c>
      <c r="U57" s="127">
        <v>311.10000000000002</v>
      </c>
      <c r="V57" s="88">
        <v>419.9</v>
      </c>
      <c r="W57" s="34">
        <v>188.4</v>
      </c>
      <c r="X57" s="91">
        <v>213.7</v>
      </c>
      <c r="Y57" s="51">
        <v>195.1</v>
      </c>
      <c r="Z57" s="32">
        <v>409.4</v>
      </c>
      <c r="AA57" s="85">
        <v>411.1</v>
      </c>
    </row>
    <row r="58" spans="1:27" x14ac:dyDescent="0.25">
      <c r="A58" s="114">
        <v>1</v>
      </c>
      <c r="B58" s="123">
        <v>2012</v>
      </c>
      <c r="C58" s="92">
        <v>120.2</v>
      </c>
      <c r="D58" s="34">
        <v>120.8</v>
      </c>
      <c r="E58" s="108">
        <v>119.6</v>
      </c>
      <c r="F58" s="92">
        <v>123.3</v>
      </c>
      <c r="G58" s="115">
        <v>120.8</v>
      </c>
      <c r="H58" s="108">
        <v>118.6</v>
      </c>
      <c r="I58" s="85"/>
      <c r="J58" s="34">
        <v>121.2</v>
      </c>
      <c r="K58" s="88">
        <v>118.8</v>
      </c>
      <c r="L58" s="40">
        <v>121.5</v>
      </c>
      <c r="M58" s="73">
        <v>119.5</v>
      </c>
      <c r="N58" s="96">
        <v>123</v>
      </c>
      <c r="O58" s="116">
        <v>123</v>
      </c>
      <c r="P58" s="92">
        <v>121.8</v>
      </c>
      <c r="Q58" s="40">
        <v>119.7</v>
      </c>
      <c r="R58" s="34"/>
      <c r="S58" s="32">
        <v>224.5</v>
      </c>
      <c r="T58" s="91">
        <v>287.7</v>
      </c>
      <c r="U58" s="127">
        <v>312</v>
      </c>
      <c r="V58" s="88">
        <v>409.3</v>
      </c>
      <c r="W58" s="34">
        <v>188.6</v>
      </c>
      <c r="X58" s="91">
        <v>213.7</v>
      </c>
      <c r="Y58" s="51">
        <v>194.9</v>
      </c>
      <c r="Z58" s="32">
        <v>407.4</v>
      </c>
      <c r="AA58" s="85">
        <v>402.7</v>
      </c>
    </row>
    <row r="59" spans="1:27" x14ac:dyDescent="0.25">
      <c r="A59" s="124">
        <v>2</v>
      </c>
      <c r="B59" s="123">
        <v>2012</v>
      </c>
      <c r="C59" s="92">
        <v>120.8</v>
      </c>
      <c r="D59" s="34">
        <v>121.4</v>
      </c>
      <c r="E59" s="108">
        <v>120.6</v>
      </c>
      <c r="F59" s="92">
        <v>124</v>
      </c>
      <c r="G59" s="115">
        <v>121.6</v>
      </c>
      <c r="H59" s="108">
        <v>119.3</v>
      </c>
      <c r="I59" s="85"/>
      <c r="J59" s="34">
        <v>121.8</v>
      </c>
      <c r="K59" s="88">
        <v>119.5</v>
      </c>
      <c r="L59" s="40">
        <v>122.3</v>
      </c>
      <c r="M59" s="34">
        <v>121.2</v>
      </c>
      <c r="N59" s="96">
        <v>123.9</v>
      </c>
      <c r="O59" s="116">
        <v>123.9</v>
      </c>
      <c r="P59" s="92">
        <v>122.5</v>
      </c>
      <c r="Q59" s="40">
        <v>120.5</v>
      </c>
      <c r="R59" s="34"/>
      <c r="S59" s="32">
        <v>226.6</v>
      </c>
      <c r="T59" s="91">
        <v>290.5</v>
      </c>
      <c r="U59" s="127">
        <v>318</v>
      </c>
      <c r="V59" s="88">
        <v>409</v>
      </c>
      <c r="W59" s="34">
        <v>189.4</v>
      </c>
      <c r="X59" s="91">
        <v>214.7</v>
      </c>
      <c r="Y59" s="51">
        <v>195.3</v>
      </c>
      <c r="Z59" s="32">
        <v>407.4</v>
      </c>
      <c r="AA59" s="85">
        <v>402.3</v>
      </c>
    </row>
    <row r="60" spans="1:27" x14ac:dyDescent="0.25">
      <c r="A60" s="124">
        <v>3</v>
      </c>
      <c r="B60" s="123">
        <v>2012</v>
      </c>
      <c r="C60" s="92">
        <v>122.1</v>
      </c>
      <c r="D60" s="34">
        <v>122.8</v>
      </c>
      <c r="E60" s="108">
        <v>122.7</v>
      </c>
      <c r="F60" s="92">
        <v>125</v>
      </c>
      <c r="G60" s="115">
        <v>122.6</v>
      </c>
      <c r="H60" s="108">
        <v>120.7</v>
      </c>
      <c r="I60" s="85"/>
      <c r="J60" s="34">
        <v>123.3</v>
      </c>
      <c r="K60" s="88">
        <v>120.7</v>
      </c>
      <c r="L60" s="40">
        <v>123.3</v>
      </c>
      <c r="M60" s="34">
        <v>122.7</v>
      </c>
      <c r="N60" s="96">
        <v>125.1</v>
      </c>
      <c r="O60" s="116">
        <v>125.1</v>
      </c>
      <c r="P60" s="92">
        <v>123.4</v>
      </c>
      <c r="Q60" s="40">
        <v>121.6</v>
      </c>
      <c r="R60" s="34"/>
      <c r="S60" s="32">
        <v>228.2</v>
      </c>
      <c r="T60" s="91">
        <v>290.5</v>
      </c>
      <c r="U60" s="127">
        <v>317.3</v>
      </c>
      <c r="V60" s="88">
        <v>414.2</v>
      </c>
      <c r="W60" s="34">
        <v>188.2</v>
      </c>
      <c r="X60" s="91">
        <v>214.4</v>
      </c>
      <c r="Y60" s="51">
        <v>194.8</v>
      </c>
      <c r="Z60" s="32">
        <v>411.4</v>
      </c>
      <c r="AA60" s="85">
        <v>406.7</v>
      </c>
    </row>
    <row r="61" spans="1:27" x14ac:dyDescent="0.25">
      <c r="A61" s="124">
        <v>4</v>
      </c>
      <c r="B61" s="123">
        <v>2012</v>
      </c>
      <c r="C61" s="92">
        <v>122.7</v>
      </c>
      <c r="D61" s="34">
        <v>123.3</v>
      </c>
      <c r="E61" s="108">
        <v>123.3</v>
      </c>
      <c r="F61" s="92">
        <v>125.2</v>
      </c>
      <c r="G61" s="115">
        <v>123</v>
      </c>
      <c r="H61" s="108">
        <v>121.3</v>
      </c>
      <c r="I61" s="85"/>
      <c r="J61" s="34">
        <v>123.8</v>
      </c>
      <c r="K61" s="88">
        <v>121.2</v>
      </c>
      <c r="L61" s="40">
        <v>123.8</v>
      </c>
      <c r="M61" s="34">
        <v>123.1</v>
      </c>
      <c r="N61" s="96">
        <v>125.7</v>
      </c>
      <c r="O61" s="116">
        <v>125.7</v>
      </c>
      <c r="P61" s="92">
        <v>124.1</v>
      </c>
      <c r="Q61" s="40">
        <v>122.1</v>
      </c>
      <c r="R61" s="34"/>
      <c r="S61" s="32">
        <v>227.9</v>
      </c>
      <c r="T61" s="91">
        <v>290.39999999999998</v>
      </c>
      <c r="U61" s="127">
        <v>317.10000000000002</v>
      </c>
      <c r="V61" s="88">
        <v>422.2</v>
      </c>
      <c r="W61" s="34">
        <v>188.6</v>
      </c>
      <c r="X61" s="91">
        <v>218</v>
      </c>
      <c r="Y61" s="51">
        <v>198.6</v>
      </c>
      <c r="Z61" s="32">
        <v>431.6</v>
      </c>
      <c r="AA61" s="85">
        <v>425.5</v>
      </c>
    </row>
    <row r="62" spans="1:27" x14ac:dyDescent="0.25">
      <c r="A62" s="124">
        <v>5</v>
      </c>
      <c r="B62" s="123">
        <v>2012</v>
      </c>
      <c r="C62" s="92">
        <v>122.9</v>
      </c>
      <c r="D62" s="34">
        <v>123.5</v>
      </c>
      <c r="E62" s="108">
        <v>123.6</v>
      </c>
      <c r="F62" s="92">
        <v>125.3</v>
      </c>
      <c r="G62" s="115">
        <v>123.3</v>
      </c>
      <c r="H62" s="108">
        <v>121.4</v>
      </c>
      <c r="I62" s="85"/>
      <c r="J62" s="34">
        <v>123.9</v>
      </c>
      <c r="K62" s="88">
        <v>121.2</v>
      </c>
      <c r="L62" s="40">
        <v>124</v>
      </c>
      <c r="M62" s="34">
        <v>123</v>
      </c>
      <c r="N62" s="96">
        <v>125.6</v>
      </c>
      <c r="O62" s="116">
        <v>125.6</v>
      </c>
      <c r="P62" s="92">
        <v>124</v>
      </c>
      <c r="Q62" s="40">
        <v>122.1</v>
      </c>
      <c r="R62" s="34"/>
      <c r="S62" s="32">
        <v>226.9</v>
      </c>
      <c r="T62" s="91">
        <v>288.89999999999998</v>
      </c>
      <c r="U62" s="127">
        <v>323</v>
      </c>
      <c r="V62" s="88">
        <v>426.6</v>
      </c>
      <c r="W62" s="34">
        <v>190.3</v>
      </c>
      <c r="X62" s="91">
        <v>218.8</v>
      </c>
      <c r="Y62" s="51">
        <v>199.4</v>
      </c>
      <c r="Z62" s="32">
        <v>435.6</v>
      </c>
      <c r="AA62" s="85">
        <v>429.5</v>
      </c>
    </row>
    <row r="63" spans="1:27" x14ac:dyDescent="0.25">
      <c r="A63" s="124">
        <v>6</v>
      </c>
      <c r="B63" s="123">
        <v>2012</v>
      </c>
      <c r="C63" s="92">
        <v>123.2</v>
      </c>
      <c r="D63" s="34">
        <v>124</v>
      </c>
      <c r="E63" s="108">
        <v>123.8</v>
      </c>
      <c r="F63" s="92">
        <v>125.2</v>
      </c>
      <c r="G63" s="115">
        <v>124.2</v>
      </c>
      <c r="H63" s="108">
        <v>121.7</v>
      </c>
      <c r="I63" s="85"/>
      <c r="J63" s="34">
        <v>123.7</v>
      </c>
      <c r="K63" s="88">
        <v>121.8</v>
      </c>
      <c r="L63" s="40">
        <v>124.5</v>
      </c>
      <c r="M63" s="34">
        <v>123.8</v>
      </c>
      <c r="N63" s="96">
        <v>125.6</v>
      </c>
      <c r="O63" s="116">
        <v>125.6</v>
      </c>
      <c r="P63" s="92">
        <v>124.2</v>
      </c>
      <c r="Q63" s="40">
        <v>121.9</v>
      </c>
      <c r="R63" s="34"/>
      <c r="S63" s="32">
        <v>226.8</v>
      </c>
      <c r="T63" s="91">
        <v>289.10000000000002</v>
      </c>
      <c r="U63" s="127">
        <v>324</v>
      </c>
      <c r="V63" s="88">
        <v>410.3</v>
      </c>
      <c r="W63" s="34">
        <v>190.8</v>
      </c>
      <c r="X63" s="91">
        <v>219.1</v>
      </c>
      <c r="Y63" s="51">
        <v>199.9</v>
      </c>
      <c r="Z63" s="32">
        <v>425.7</v>
      </c>
      <c r="AA63" s="85">
        <v>421.1</v>
      </c>
    </row>
    <row r="64" spans="1:27" x14ac:dyDescent="0.25">
      <c r="A64" s="124">
        <v>7</v>
      </c>
      <c r="B64" s="123">
        <v>2012</v>
      </c>
      <c r="C64" s="92">
        <v>123.6</v>
      </c>
      <c r="D64" s="34">
        <v>124.7</v>
      </c>
      <c r="E64" s="108">
        <v>124.2</v>
      </c>
      <c r="F64" s="92">
        <v>126.5</v>
      </c>
      <c r="G64" s="115">
        <v>124.6</v>
      </c>
      <c r="H64" s="108">
        <v>121.9</v>
      </c>
      <c r="I64" s="85"/>
      <c r="J64" s="34">
        <v>124.3</v>
      </c>
      <c r="K64" s="88">
        <v>122.2</v>
      </c>
      <c r="L64" s="40">
        <v>124.8</v>
      </c>
      <c r="M64" s="34">
        <v>123.9</v>
      </c>
      <c r="N64" s="96">
        <v>125.9</v>
      </c>
      <c r="O64" s="116">
        <v>125.9</v>
      </c>
      <c r="P64" s="92">
        <v>124.8</v>
      </c>
      <c r="Q64" s="40">
        <v>122.5</v>
      </c>
      <c r="R64" s="34"/>
      <c r="S64" s="32">
        <v>227.1</v>
      </c>
      <c r="T64" s="91">
        <v>289.89999999999998</v>
      </c>
      <c r="U64" s="127">
        <v>325.3</v>
      </c>
      <c r="V64" s="88">
        <v>378.6</v>
      </c>
      <c r="W64" s="34">
        <v>191</v>
      </c>
      <c r="X64" s="91">
        <v>220.2</v>
      </c>
      <c r="Y64" s="51">
        <v>200</v>
      </c>
      <c r="Z64" s="32">
        <v>401.1</v>
      </c>
      <c r="AA64" s="85">
        <v>394.3</v>
      </c>
    </row>
    <row r="65" spans="1:27" x14ac:dyDescent="0.25">
      <c r="A65" s="124">
        <v>8</v>
      </c>
      <c r="B65" s="123">
        <v>2012</v>
      </c>
      <c r="C65" s="92">
        <v>123.8</v>
      </c>
      <c r="D65" s="34">
        <v>124.9</v>
      </c>
      <c r="E65" s="108">
        <v>124.4</v>
      </c>
      <c r="F65" s="92">
        <v>126.8</v>
      </c>
      <c r="G65" s="115">
        <v>124.7</v>
      </c>
      <c r="H65" s="108">
        <v>122.1</v>
      </c>
      <c r="I65" s="85"/>
      <c r="J65" s="34">
        <v>124.5</v>
      </c>
      <c r="K65" s="88">
        <v>122.4</v>
      </c>
      <c r="L65" s="40">
        <v>125.3</v>
      </c>
      <c r="M65" s="34">
        <v>124.5</v>
      </c>
      <c r="N65" s="96">
        <v>126.3</v>
      </c>
      <c r="O65" s="116">
        <v>126.3</v>
      </c>
      <c r="P65" s="92">
        <v>124.9</v>
      </c>
      <c r="Q65" s="40">
        <v>122.8</v>
      </c>
      <c r="R65" s="34"/>
      <c r="S65" s="32">
        <v>227.9</v>
      </c>
      <c r="T65" s="91">
        <v>290</v>
      </c>
      <c r="U65" s="127">
        <v>324.2</v>
      </c>
      <c r="V65" s="88">
        <v>388</v>
      </c>
      <c r="W65" s="34">
        <v>191.5</v>
      </c>
      <c r="X65" s="91">
        <v>219.1</v>
      </c>
      <c r="Y65" s="51">
        <v>200.5</v>
      </c>
      <c r="Z65" s="32">
        <v>406.6</v>
      </c>
      <c r="AA65" s="85">
        <v>399.9</v>
      </c>
    </row>
    <row r="66" spans="1:27" x14ac:dyDescent="0.25">
      <c r="A66" s="124">
        <v>9</v>
      </c>
      <c r="B66" s="123">
        <v>2012</v>
      </c>
      <c r="C66" s="92">
        <v>124.9</v>
      </c>
      <c r="D66" s="34">
        <v>125.7</v>
      </c>
      <c r="E66" s="108">
        <v>125.4</v>
      </c>
      <c r="F66" s="92">
        <v>128</v>
      </c>
      <c r="G66" s="115">
        <v>125.9</v>
      </c>
      <c r="H66" s="108">
        <v>123.3</v>
      </c>
      <c r="I66" s="85"/>
      <c r="J66" s="34">
        <v>125.5</v>
      </c>
      <c r="K66" s="88">
        <v>123.3</v>
      </c>
      <c r="L66" s="40">
        <v>126.3</v>
      </c>
      <c r="M66" s="34">
        <v>126.2</v>
      </c>
      <c r="N66" s="96">
        <v>127.3</v>
      </c>
      <c r="O66" s="116">
        <v>127.3</v>
      </c>
      <c r="P66" s="92">
        <v>126</v>
      </c>
      <c r="Q66" s="40">
        <v>124.1</v>
      </c>
      <c r="R66" s="34"/>
      <c r="S66" s="32">
        <v>227.5</v>
      </c>
      <c r="T66" s="91">
        <v>289.8</v>
      </c>
      <c r="U66" s="127">
        <v>323.5</v>
      </c>
      <c r="V66" s="88">
        <v>412.7</v>
      </c>
      <c r="W66" s="34">
        <v>192.5</v>
      </c>
      <c r="X66" s="91">
        <v>223.2</v>
      </c>
      <c r="Y66" s="51">
        <v>200.6</v>
      </c>
      <c r="Z66" s="32">
        <v>434</v>
      </c>
      <c r="AA66" s="85">
        <v>427.5</v>
      </c>
    </row>
    <row r="67" spans="1:27" x14ac:dyDescent="0.25">
      <c r="A67" s="124">
        <v>10</v>
      </c>
      <c r="B67" s="123">
        <v>2012</v>
      </c>
      <c r="C67" s="92">
        <v>125.5</v>
      </c>
      <c r="D67" s="34">
        <v>126.5</v>
      </c>
      <c r="E67" s="108">
        <v>126.1</v>
      </c>
      <c r="F67" s="92">
        <v>128.6</v>
      </c>
      <c r="G67" s="115">
        <v>126.7</v>
      </c>
      <c r="H67" s="108">
        <v>124.1</v>
      </c>
      <c r="I67" s="85"/>
      <c r="J67" s="34">
        <v>126.3</v>
      </c>
      <c r="K67" s="88">
        <v>124</v>
      </c>
      <c r="L67" s="40">
        <v>127.3</v>
      </c>
      <c r="M67" s="34">
        <v>127.1</v>
      </c>
      <c r="N67" s="96">
        <v>128.19999999999999</v>
      </c>
      <c r="O67" s="116">
        <v>128.19999999999999</v>
      </c>
      <c r="P67" s="92">
        <v>126.5</v>
      </c>
      <c r="Q67" s="40">
        <v>124.9</v>
      </c>
      <c r="R67" s="34"/>
      <c r="S67" s="32">
        <v>226.8</v>
      </c>
      <c r="T67" s="91">
        <v>285.89999999999998</v>
      </c>
      <c r="U67" s="127">
        <v>324</v>
      </c>
      <c r="V67" s="88">
        <v>433</v>
      </c>
      <c r="W67" s="34">
        <v>192.5</v>
      </c>
      <c r="X67" s="91">
        <v>224.1</v>
      </c>
      <c r="Y67" s="51">
        <v>201.4</v>
      </c>
      <c r="Z67" s="32">
        <v>436.4</v>
      </c>
      <c r="AA67" s="85">
        <v>443.5</v>
      </c>
    </row>
    <row r="68" spans="1:27" x14ac:dyDescent="0.25">
      <c r="A68" s="124">
        <v>11</v>
      </c>
      <c r="B68" s="123">
        <v>2012</v>
      </c>
      <c r="C68" s="92">
        <v>125.8</v>
      </c>
      <c r="D68" s="34">
        <v>126.9</v>
      </c>
      <c r="E68" s="108">
        <v>126.4</v>
      </c>
      <c r="F68" s="92">
        <v>129</v>
      </c>
      <c r="G68" s="115">
        <v>126.9</v>
      </c>
      <c r="H68" s="108">
        <v>124.4</v>
      </c>
      <c r="I68" s="85"/>
      <c r="J68" s="34">
        <v>126.6</v>
      </c>
      <c r="K68" s="88">
        <v>124.3</v>
      </c>
      <c r="L68" s="40">
        <v>127.5</v>
      </c>
      <c r="M68" s="34">
        <v>127.3</v>
      </c>
      <c r="N68" s="96">
        <v>128.6</v>
      </c>
      <c r="O68" s="116">
        <v>128.6</v>
      </c>
      <c r="P68" s="92">
        <v>126.8</v>
      </c>
      <c r="Q68" s="40">
        <v>125.1</v>
      </c>
      <c r="R68" s="34"/>
      <c r="S68" s="32">
        <v>227.5</v>
      </c>
      <c r="T68" s="91">
        <v>285.89999999999998</v>
      </c>
      <c r="U68" s="127">
        <v>326.39999999999998</v>
      </c>
      <c r="V68" s="88">
        <v>439.3</v>
      </c>
      <c r="W68" s="34">
        <v>193.2</v>
      </c>
      <c r="X68" s="91">
        <v>225.1</v>
      </c>
      <c r="Y68" s="51">
        <v>202.1</v>
      </c>
      <c r="Z68" s="32">
        <v>446.3</v>
      </c>
      <c r="AA68" s="85">
        <v>447.5</v>
      </c>
    </row>
    <row r="69" spans="1:27" ht="15.75" thickBot="1" x14ac:dyDescent="0.3">
      <c r="A69" s="124">
        <v>12</v>
      </c>
      <c r="B69" s="123">
        <v>2012</v>
      </c>
      <c r="C69" s="161">
        <v>126.3</v>
      </c>
      <c r="D69" s="34">
        <v>127.2</v>
      </c>
      <c r="E69" s="162">
        <v>126.9</v>
      </c>
      <c r="F69" s="161">
        <v>129</v>
      </c>
      <c r="G69" s="328">
        <v>127.3</v>
      </c>
      <c r="H69" s="162">
        <v>124.9</v>
      </c>
      <c r="I69" s="95"/>
      <c r="J69" s="35">
        <v>126.8</v>
      </c>
      <c r="K69" s="94">
        <v>124.4</v>
      </c>
      <c r="L69" s="67">
        <v>127.8</v>
      </c>
      <c r="M69" s="161">
        <v>127.4</v>
      </c>
      <c r="N69" s="163">
        <v>128.9</v>
      </c>
      <c r="O69" s="164">
        <v>128.9</v>
      </c>
      <c r="P69" s="161">
        <v>127</v>
      </c>
      <c r="Q69" s="40">
        <v>125.4</v>
      </c>
      <c r="R69" s="34"/>
      <c r="S69" s="32">
        <v>228.2</v>
      </c>
      <c r="T69" s="93">
        <v>289</v>
      </c>
      <c r="U69" s="127">
        <v>329.3</v>
      </c>
      <c r="V69" s="94">
        <v>435.9</v>
      </c>
      <c r="W69" s="34">
        <v>193.7</v>
      </c>
      <c r="X69" s="93">
        <v>225.3</v>
      </c>
      <c r="Y69" s="51">
        <v>202.6</v>
      </c>
      <c r="Z69" s="32">
        <v>444.4</v>
      </c>
      <c r="AA69" s="95">
        <v>445.5</v>
      </c>
    </row>
    <row r="70" spans="1:27" ht="15.75" thickBot="1" x14ac:dyDescent="0.3">
      <c r="A70" s="131" t="s">
        <v>43</v>
      </c>
      <c r="B70" s="132"/>
      <c r="C70" s="52"/>
      <c r="D70" s="53"/>
      <c r="E70" s="53"/>
      <c r="F70" s="98"/>
      <c r="G70" s="53"/>
      <c r="H70" s="53"/>
      <c r="I70" s="98"/>
      <c r="J70" s="98"/>
      <c r="K70" s="98"/>
      <c r="L70" s="98"/>
      <c r="M70" s="98"/>
      <c r="N70" s="53"/>
      <c r="O70" s="53"/>
      <c r="P70" s="53"/>
      <c r="Q70" s="54"/>
      <c r="R70" s="34"/>
      <c r="S70" s="133" t="s">
        <v>42</v>
      </c>
      <c r="T70" s="134"/>
      <c r="U70" s="134"/>
      <c r="V70" s="128"/>
      <c r="W70" s="128"/>
      <c r="X70" s="128"/>
      <c r="Y70" s="128"/>
      <c r="Z70" s="128"/>
      <c r="AA70" s="135"/>
    </row>
    <row r="71" spans="1:27" ht="15.75" thickBot="1" x14ac:dyDescent="0.3">
      <c r="A71" s="136"/>
      <c r="B71" s="137"/>
      <c r="C71" s="138"/>
      <c r="D71" s="139" t="s">
        <v>54</v>
      </c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40"/>
      <c r="R71" s="34"/>
      <c r="S71" s="140"/>
      <c r="T71" s="141" t="s">
        <v>60</v>
      </c>
      <c r="U71" s="62"/>
      <c r="V71" s="62"/>
      <c r="W71" s="62"/>
      <c r="X71" s="62"/>
      <c r="Y71" s="63"/>
      <c r="Z71" s="142" t="s">
        <v>41</v>
      </c>
      <c r="AA71" s="143"/>
    </row>
    <row r="72" spans="1:27" ht="15.75" thickBot="1" x14ac:dyDescent="0.3">
      <c r="A72" s="136"/>
      <c r="B72" s="137"/>
      <c r="C72" s="138"/>
      <c r="D72" s="139" t="s">
        <v>53</v>
      </c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40"/>
      <c r="R72" s="34"/>
      <c r="S72" s="138"/>
      <c r="T72" s="139" t="s">
        <v>52</v>
      </c>
      <c r="U72" s="34"/>
      <c r="V72" s="34"/>
      <c r="W72" s="34"/>
      <c r="X72" s="34"/>
      <c r="Y72" s="40"/>
      <c r="Z72" s="32"/>
      <c r="AA72" s="137"/>
    </row>
    <row r="73" spans="1:27" ht="15.75" thickBot="1" x14ac:dyDescent="0.3">
      <c r="A73" s="144" t="s">
        <v>56</v>
      </c>
      <c r="B73" s="145"/>
      <c r="C73" s="33"/>
      <c r="D73" s="146" t="s">
        <v>59</v>
      </c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67"/>
      <c r="R73" s="34"/>
      <c r="S73" s="147"/>
      <c r="T73" s="148" t="s">
        <v>57</v>
      </c>
      <c r="U73" s="148"/>
      <c r="V73" s="129"/>
      <c r="W73" s="129"/>
      <c r="X73" s="129"/>
      <c r="Y73" s="130"/>
      <c r="Z73" s="114"/>
      <c r="AA73" s="137"/>
    </row>
    <row r="74" spans="1:27" ht="15.75" thickBot="1" x14ac:dyDescent="0.3">
      <c r="A74" s="149" t="s">
        <v>44</v>
      </c>
      <c r="B74" s="150"/>
      <c r="C74" s="76">
        <v>0.79176563740000006</v>
      </c>
      <c r="D74" s="154">
        <v>0.78616352199999995</v>
      </c>
      <c r="E74" s="75">
        <v>0.78802206460000002</v>
      </c>
      <c r="F74" s="76">
        <v>0.77519379840000002</v>
      </c>
      <c r="G74" s="154">
        <v>0.78554595439999997</v>
      </c>
      <c r="H74" s="77">
        <v>0.8006405124</v>
      </c>
      <c r="I74" s="156"/>
      <c r="J74" s="74">
        <v>0.78864353310000002</v>
      </c>
      <c r="K74" s="155">
        <v>0.80385852089999998</v>
      </c>
      <c r="L74" s="77">
        <v>0.78247261349999997</v>
      </c>
      <c r="M74" s="76">
        <v>0.78492935639999994</v>
      </c>
      <c r="N74" s="77">
        <v>0.77579519009999998</v>
      </c>
      <c r="O74" s="156">
        <v>0.77579519009999998</v>
      </c>
      <c r="P74" s="76">
        <v>0.78740157479999995</v>
      </c>
      <c r="Q74" s="75">
        <v>0.79744816590000001</v>
      </c>
      <c r="R74" s="323"/>
      <c r="S74" s="78">
        <v>2.2719999999999998</v>
      </c>
      <c r="T74" s="106">
        <v>2.89</v>
      </c>
      <c r="U74" s="329">
        <v>3.22</v>
      </c>
      <c r="V74" s="79">
        <v>4.149</v>
      </c>
      <c r="W74" s="81">
        <v>1.909</v>
      </c>
      <c r="X74" s="79">
        <v>2.1960000000000002</v>
      </c>
      <c r="Y74" s="80">
        <v>1.992</v>
      </c>
      <c r="Z74" s="107">
        <v>4.24</v>
      </c>
      <c r="AA74" s="82">
        <v>4.2050000000000001</v>
      </c>
    </row>
    <row r="75" spans="1:27" ht="15.75" thickBot="1" x14ac:dyDescent="0.3">
      <c r="A75" s="151" t="s">
        <v>45</v>
      </c>
      <c r="B75" s="130"/>
      <c r="C75" s="70"/>
      <c r="D75" s="109"/>
      <c r="E75" s="69"/>
      <c r="F75" s="70"/>
      <c r="G75" s="109"/>
      <c r="H75" s="177"/>
      <c r="I75" s="111"/>
      <c r="J75" s="68"/>
      <c r="K75" s="110"/>
      <c r="L75" s="177"/>
      <c r="M75" s="70"/>
      <c r="N75" s="177"/>
      <c r="O75" s="111"/>
      <c r="P75" s="70"/>
      <c r="Q75" s="69"/>
      <c r="R75" s="319"/>
      <c r="S75" s="64"/>
      <c r="T75" s="71"/>
      <c r="U75" s="65"/>
      <c r="V75" s="71"/>
      <c r="W75" s="65"/>
      <c r="X75" s="71"/>
      <c r="Y75" s="66"/>
      <c r="Z75" s="64"/>
      <c r="AA75" s="72"/>
    </row>
    <row r="76" spans="1:27" x14ac:dyDescent="0.25">
      <c r="A76" s="136"/>
      <c r="B76" s="137"/>
      <c r="C76" s="100"/>
      <c r="D76" s="101"/>
      <c r="E76" s="105"/>
      <c r="F76" s="102"/>
      <c r="G76" s="101"/>
      <c r="H76" s="113"/>
      <c r="I76" s="105"/>
      <c r="J76" s="101"/>
      <c r="K76" s="87"/>
      <c r="L76" s="62"/>
      <c r="M76" s="102"/>
      <c r="N76" s="62"/>
      <c r="O76" s="105"/>
      <c r="P76" s="102"/>
      <c r="Q76" s="40"/>
      <c r="R76" s="34"/>
      <c r="S76" s="60" t="s">
        <v>50</v>
      </c>
      <c r="T76" s="165" t="s">
        <v>51</v>
      </c>
      <c r="U76" s="58" t="s">
        <v>51</v>
      </c>
      <c r="V76" s="165" t="s">
        <v>51</v>
      </c>
      <c r="W76" s="58" t="s">
        <v>51</v>
      </c>
      <c r="X76" s="165" t="s">
        <v>51</v>
      </c>
      <c r="Y76" s="59" t="s">
        <v>51</v>
      </c>
      <c r="Z76" s="61" t="s">
        <v>51</v>
      </c>
      <c r="AA76" s="166" t="s">
        <v>51</v>
      </c>
    </row>
    <row r="77" spans="1:27" x14ac:dyDescent="0.25">
      <c r="A77" s="124">
        <v>1</v>
      </c>
      <c r="B77" s="123">
        <v>2013</v>
      </c>
      <c r="C77" s="92">
        <f>100.2/C120</f>
        <v>126.55259999541879</v>
      </c>
      <c r="D77" s="32">
        <f>100.1/D120</f>
        <v>127.32720000203723</v>
      </c>
      <c r="E77" s="85">
        <f>100.2/E120</f>
        <v>127.15380000287368</v>
      </c>
      <c r="F77" s="92">
        <f>100.5/F120</f>
        <v>129.64500000829727</v>
      </c>
      <c r="G77" s="32">
        <f>100.5/G120</f>
        <v>127.93650000624331</v>
      </c>
      <c r="H77" s="108">
        <f>100.1/H120</f>
        <v>125.02490000155031</v>
      </c>
      <c r="I77" s="85"/>
      <c r="J77" s="32">
        <f>100.3/J120</f>
        <v>127.18040000371366</v>
      </c>
      <c r="K77" s="88">
        <f t="shared" ref="K77:P77" si="0">100.4/K120</f>
        <v>124.89760000004996</v>
      </c>
      <c r="L77" s="34">
        <f t="shared" si="0"/>
        <v>128.31119999319952</v>
      </c>
      <c r="M77" s="92">
        <f t="shared" si="0"/>
        <v>127.90959999314406</v>
      </c>
      <c r="N77" s="34">
        <f t="shared" si="0"/>
        <v>129.41559999496573</v>
      </c>
      <c r="O77" s="85">
        <f t="shared" si="0"/>
        <v>129.41559999496573</v>
      </c>
      <c r="P77" s="92">
        <f t="shared" si="0"/>
        <v>127.50800000051005</v>
      </c>
      <c r="Q77" s="40">
        <f>100.5/Q120</f>
        <v>126.02699999513536</v>
      </c>
      <c r="R77" s="34"/>
      <c r="S77" s="32">
        <f>+S120*101.8</f>
        <v>231.28959999999998</v>
      </c>
      <c r="T77" s="152">
        <f>+T120*103.2</f>
        <v>298.24800000000005</v>
      </c>
      <c r="U77" s="127">
        <f>+U120*104.4</f>
        <v>336.16800000000006</v>
      </c>
      <c r="V77" s="103">
        <f>+V120*103</f>
        <v>427.34699999999998</v>
      </c>
      <c r="W77" s="34">
        <f>+W120*102.3</f>
        <v>195.29069999999999</v>
      </c>
      <c r="X77" s="152">
        <f>+X120*103.1</f>
        <v>226.4076</v>
      </c>
      <c r="Y77" s="127">
        <f>+Y120*102.4</f>
        <v>203.98080000000002</v>
      </c>
      <c r="Z77" s="32">
        <f>+Z120*102.2</f>
        <v>433.32800000000003</v>
      </c>
      <c r="AA77" s="104">
        <f>+AA120*103.4</f>
        <v>434.79700000000003</v>
      </c>
    </row>
    <row r="78" spans="1:27" x14ac:dyDescent="0.25">
      <c r="A78" s="124">
        <v>2</v>
      </c>
      <c r="B78" s="123">
        <v>2013</v>
      </c>
      <c r="C78" s="92">
        <f>100.8/C120</f>
        <v>127.31039999539135</v>
      </c>
      <c r="D78" s="32">
        <f>101.2/D120</f>
        <v>128.72640000205965</v>
      </c>
      <c r="E78" s="85">
        <f>101.3/E120</f>
        <v>128.54970000290521</v>
      </c>
      <c r="F78" s="92">
        <f>100.9/F120</f>
        <v>130.16100000833032</v>
      </c>
      <c r="G78" s="32">
        <f>102/G120</f>
        <v>129.84600000633648</v>
      </c>
      <c r="H78" s="108">
        <f>101.2/H120</f>
        <v>126.39880000156735</v>
      </c>
      <c r="I78" s="85"/>
      <c r="J78" s="32">
        <f>101.7/J120</f>
        <v>128.95560000376551</v>
      </c>
      <c r="K78" s="88">
        <f>101.8/K120</f>
        <v>126.63920000005065</v>
      </c>
      <c r="L78" s="34">
        <f>101.5/L120</f>
        <v>129.716999993125</v>
      </c>
      <c r="M78" s="92">
        <f>101.2/M120</f>
        <v>128.92879999308943</v>
      </c>
      <c r="N78" s="34">
        <f>101.2/N120</f>
        <v>130.44679999492564</v>
      </c>
      <c r="O78" s="85">
        <f>101.2/O120</f>
        <v>130.44679999492564</v>
      </c>
      <c r="P78" s="92">
        <f>101.4/P120</f>
        <v>128.77800000051514</v>
      </c>
      <c r="Q78" s="40">
        <f>101.3/Q120</f>
        <v>127.03019999509662</v>
      </c>
      <c r="R78" s="34"/>
      <c r="S78" s="32">
        <f>+S120*102.2</f>
        <v>232.19839999999999</v>
      </c>
      <c r="T78" s="91">
        <f>+T120*104.8</f>
        <v>302.87200000000001</v>
      </c>
      <c r="U78" s="127">
        <f>+U120*105.1</f>
        <v>338.42200000000003</v>
      </c>
      <c r="V78" s="88">
        <f>+V120*104.3</f>
        <v>432.7407</v>
      </c>
      <c r="W78" s="34">
        <f>+W120*102.5</f>
        <v>195.67250000000001</v>
      </c>
      <c r="X78" s="91">
        <f>+X120*103.1</f>
        <v>226.4076</v>
      </c>
      <c r="Y78" s="127">
        <f>+Y120*102.4</f>
        <v>203.98080000000002</v>
      </c>
      <c r="Z78" s="32">
        <f>+Z120*103.9</f>
        <v>440.53600000000006</v>
      </c>
      <c r="AA78" s="85">
        <f>+AA120*105</f>
        <v>441.52500000000003</v>
      </c>
    </row>
    <row r="79" spans="1:27" x14ac:dyDescent="0.25">
      <c r="A79" s="124">
        <v>3</v>
      </c>
      <c r="B79" s="123">
        <v>2013</v>
      </c>
      <c r="C79" s="92">
        <f>102.2/C120</f>
        <v>129.07859999532735</v>
      </c>
      <c r="D79" s="32">
        <f>102/D120</f>
        <v>129.74400000207592</v>
      </c>
      <c r="E79" s="85">
        <f>102.4/E120</f>
        <v>129.94560000293677</v>
      </c>
      <c r="F79" s="92">
        <f>101.8/F120</f>
        <v>131.32200000840459</v>
      </c>
      <c r="G79" s="32">
        <f>102.9/G120</f>
        <v>130.99170000639242</v>
      </c>
      <c r="H79" s="108">
        <f>102.8/H120</f>
        <v>128.39720000159213</v>
      </c>
      <c r="I79" s="85"/>
      <c r="J79" s="32">
        <f>103.2/J120</f>
        <v>130.85760000382103</v>
      </c>
      <c r="K79" s="88">
        <f>103/K120</f>
        <v>128.13200000005125</v>
      </c>
      <c r="L79" s="34">
        <f>102.6/L120</f>
        <v>131.12279999305048</v>
      </c>
      <c r="M79" s="92">
        <f>101.9/M120</f>
        <v>129.82059999304164</v>
      </c>
      <c r="N79" s="34">
        <f>102.4/N120</f>
        <v>131.99359999486546</v>
      </c>
      <c r="O79" s="85">
        <f>102.4/O120</f>
        <v>131.99359999486546</v>
      </c>
      <c r="P79" s="92">
        <f>102.1/P120</f>
        <v>129.66700000051867</v>
      </c>
      <c r="Q79" s="40">
        <f>102.8/Q120</f>
        <v>128.91119999502402</v>
      </c>
      <c r="R79" s="34"/>
      <c r="S79" s="32">
        <f>+S120*103.1</f>
        <v>234.24319999999997</v>
      </c>
      <c r="T79" s="91">
        <f>+T120*104.5</f>
        <v>302.005</v>
      </c>
      <c r="U79" s="127">
        <f>+U120*104.9</f>
        <v>337.77800000000002</v>
      </c>
      <c r="V79" s="88">
        <f>+V120*108.6</f>
        <v>450.58139999999997</v>
      </c>
      <c r="W79" s="34">
        <f>+W120*103.6</f>
        <v>197.7724</v>
      </c>
      <c r="X79" s="91">
        <f>+X120*103.5</f>
        <v>227.28600000000003</v>
      </c>
      <c r="Y79" s="127">
        <f>+Y120*103.6</f>
        <v>206.37119999999999</v>
      </c>
      <c r="Z79" s="32">
        <f>+Z120*109.3</f>
        <v>463.43200000000002</v>
      </c>
      <c r="AA79" s="85">
        <f>+AA120*110.6</f>
        <v>465.07299999999998</v>
      </c>
    </row>
    <row r="80" spans="1:27" x14ac:dyDescent="0.25">
      <c r="A80" s="124">
        <v>4</v>
      </c>
      <c r="B80" s="123">
        <v>2013</v>
      </c>
      <c r="C80" s="92">
        <f>'Discontinued - OLDTABLE A'!D77/'Discontinued - TABLE B'!C120</f>
        <v>129.45749999531364</v>
      </c>
      <c r="D80" s="32">
        <f>'Discontinued - OLDTABLE A'!E77/'Discontinued - TABLE B'!D120</f>
        <v>129.99840000207999</v>
      </c>
      <c r="E80" s="85">
        <f>'Discontinued - OLDTABLE A'!F77/'Discontinued - TABLE B'!E120</f>
        <v>130.45320000294822</v>
      </c>
      <c r="F80" s="92">
        <f>'Discontinued - OLDTABLE A'!G77/'Discontinued - TABLE B'!F120</f>
        <v>131.70900000842937</v>
      </c>
      <c r="G80" s="32">
        <f>'Discontinued - OLDTABLE A'!J77/'Discontinued - TABLE B'!G120</f>
        <v>131.11900000639861</v>
      </c>
      <c r="H80" s="108">
        <f>'Discontinued - OLDTABLE A'!I77/'Discontinued - TABLE B'!H120</f>
        <v>128.52210000159369</v>
      </c>
      <c r="I80" s="85"/>
      <c r="J80" s="32">
        <f>'Discontinued - OLDTABLE A'!M77/'Discontinued - TABLE B'!J120</f>
        <v>131.36480000383585</v>
      </c>
      <c r="K80" s="88">
        <f>'Discontinued - OLDTABLE A'!N77/'Discontinued - TABLE B'!K120</f>
        <v>128.50520000005139</v>
      </c>
      <c r="L80" s="34">
        <f>'Discontinued - OLDTABLE A'!O77/'Discontinued - TABLE B'!L120</f>
        <v>131.50619999303018</v>
      </c>
      <c r="M80" s="92">
        <f>'Discontinued - OLDTABLE A'!L77/'Discontinued - TABLE B'!M120</f>
        <v>130.71239999299382</v>
      </c>
      <c r="N80" s="34">
        <f>'Discontinued - OLDTABLE A'!H77/'Discontinued - TABLE B'!N120</f>
        <v>132.38029999485042</v>
      </c>
      <c r="O80" s="85">
        <f>'Discontinued - OLDTABLE A'!H77/'Discontinued - TABLE B'!O120</f>
        <v>132.38029999485042</v>
      </c>
      <c r="P80" s="92">
        <f>'Discontinued - OLDTABLE A'!P77/'Discontinued - TABLE B'!P120</f>
        <v>129.92100000051968</v>
      </c>
      <c r="Q80" s="40">
        <f>'Discontinued - OLDTABLE A'!Q77/'Discontinued - TABLE B'!Q120</f>
        <v>129.16199999501436</v>
      </c>
      <c r="R80" s="34"/>
      <c r="S80" s="32">
        <f>S120*'Discontinued - OLDTABLE A'!S77</f>
        <v>236.0608</v>
      </c>
      <c r="T80" s="91">
        <f>T120*'Discontinued - OLDTABLE A'!T77</f>
        <v>307.20699999999999</v>
      </c>
      <c r="U80" s="127">
        <f>U120*'Discontinued - OLDTABLE A'!U77</f>
        <v>340.03199999999998</v>
      </c>
      <c r="V80" s="88">
        <f>V120*'Discontinued - OLDTABLE A'!V77</f>
        <v>434.40030000000002</v>
      </c>
      <c r="W80" s="34">
        <f>W120*'Discontinued - OLDTABLE A'!W77</f>
        <v>197.9633</v>
      </c>
      <c r="X80" s="91">
        <f>X120*'Discontinued - OLDTABLE A'!X77</f>
        <v>227.50560000000002</v>
      </c>
      <c r="Y80" s="127">
        <f>Y120*'Discontinued - OLDTABLE A'!Y77</f>
        <v>206.37119999999999</v>
      </c>
      <c r="Z80" s="32">
        <f>Z120*'Discontinued - OLDTABLE A'!Z77</f>
        <v>442.23200000000003</v>
      </c>
      <c r="AA80" s="85">
        <f>AA120*'Discontinued - OLDTABLE A'!AA77</f>
        <v>442.78649999999999</v>
      </c>
    </row>
    <row r="81" spans="1:27" x14ac:dyDescent="0.25">
      <c r="A81" s="124">
        <v>5</v>
      </c>
      <c r="B81" s="123">
        <v>2013</v>
      </c>
      <c r="C81" s="92">
        <f>'Discontinued - OLDTABLE A'!D78/'Discontinued - TABLE B'!C120</f>
        <v>129.07859999532735</v>
      </c>
      <c r="D81" s="32">
        <f>'Discontinued - OLDTABLE A'!E78/'Discontinued - TABLE B'!D120</f>
        <v>129.87120000207793</v>
      </c>
      <c r="E81" s="85">
        <f>'Discontinued - OLDTABLE A'!F78/'Discontinued - TABLE B'!E120</f>
        <v>130.07250000293965</v>
      </c>
      <c r="F81" s="92">
        <f>'Discontinued - OLDTABLE A'!G78/'Discontinued - TABLE B'!F120</f>
        <v>131.32200000840459</v>
      </c>
      <c r="G81" s="32">
        <f>'Discontinued - OLDTABLE A'!J78/'Discontinued - TABLE B'!G120</f>
        <v>130.48250000636756</v>
      </c>
      <c r="H81" s="108">
        <f>'Discontinued - OLDTABLE A'!I78/'Discontinued - TABLE B'!H120</f>
        <v>128.02250000158747</v>
      </c>
      <c r="I81" s="85"/>
      <c r="J81" s="32">
        <f>'Discontinued - OLDTABLE A'!M78/'Discontinued - TABLE B'!J120</f>
        <v>130.98440000382473</v>
      </c>
      <c r="K81" s="88">
        <f>'Discontinued - OLDTABLE A'!N78/'Discontinued - TABLE B'!K120</f>
        <v>128.00760000005121</v>
      </c>
      <c r="L81" s="34">
        <f>'Discontinued - OLDTABLE A'!O78/'Discontinued - TABLE B'!L120</f>
        <v>130.99499999305726</v>
      </c>
      <c r="M81" s="92">
        <f>'Discontinued - OLDTABLE A'!L78/'Discontinued - TABLE B'!M120</f>
        <v>130.58499999300065</v>
      </c>
      <c r="N81" s="34">
        <f>'Discontinued - OLDTABLE A'!H78/'Discontinued - TABLE B'!N120</f>
        <v>132.2513999948554</v>
      </c>
      <c r="O81" s="85">
        <f>'Discontinued - OLDTABLE A'!H78/'Discontinued - TABLE B'!O120</f>
        <v>132.2513999948554</v>
      </c>
      <c r="P81" s="92">
        <f>'Discontinued - OLDTABLE A'!P78/'Discontinued - TABLE B'!P120</f>
        <v>129.66700000051867</v>
      </c>
      <c r="Q81" s="40">
        <f>'Discontinued - OLDTABLE A'!Q78/'Discontinued - TABLE B'!Q120</f>
        <v>129.16199999501436</v>
      </c>
      <c r="R81" s="34"/>
      <c r="S81" s="32">
        <f>S120*'Discontinued - OLDTABLE A'!S78</f>
        <v>236.74239999999998</v>
      </c>
      <c r="T81" s="91">
        <f>T120*'Discontinued - OLDTABLE A'!T78</f>
        <v>309.80800000000005</v>
      </c>
      <c r="U81" s="127">
        <f>U120*'Discontinued - OLDTABLE A'!U78</f>
        <v>344.86200000000002</v>
      </c>
      <c r="V81" s="88">
        <f>V120*'Discontinued - OLDTABLE A'!V78</f>
        <v>421.12349999999998</v>
      </c>
      <c r="W81" s="34">
        <f>W120*'Discontinued - OLDTABLE A'!W78</f>
        <v>199.4905</v>
      </c>
      <c r="X81" s="91">
        <f>X120*'Discontinued - OLDTABLE A'!X78</f>
        <v>228.82320000000001</v>
      </c>
      <c r="Y81" s="127">
        <f>Y120*'Discontinued - OLDTABLE A'!Y78</f>
        <v>206.96880000000002</v>
      </c>
      <c r="Z81" s="32">
        <f>Z120*'Discontinued - OLDTABLE A'!Z78</f>
        <v>440.53600000000006</v>
      </c>
      <c r="AA81" s="85">
        <f>AA120*'Discontinued - OLDTABLE A'!AA78</f>
        <v>441.10450000000003</v>
      </c>
    </row>
    <row r="82" spans="1:27" x14ac:dyDescent="0.25">
      <c r="A82" s="124">
        <v>6</v>
      </c>
      <c r="B82" s="123">
        <v>2013</v>
      </c>
      <c r="C82" s="92">
        <f>'Discontinued - OLDTABLE A'!D79/'Discontinued - TABLE B'!C$120</f>
        <v>129.45749999531364</v>
      </c>
      <c r="D82" s="32">
        <f>'Discontinued - OLDTABLE A'!E79/'Discontinued - TABLE B'!D$120</f>
        <v>130.38000000208609</v>
      </c>
      <c r="E82" s="85">
        <f>'Discontinued - OLDTABLE A'!F79/'Discontinued - TABLE B'!E$120</f>
        <v>130.58010000295113</v>
      </c>
      <c r="F82" s="92">
        <f>'Discontinued - OLDTABLE A'!G79/'Discontinued - TABLE B'!F$120</f>
        <v>131.45100000841288</v>
      </c>
      <c r="G82" s="32">
        <f>'Discontinued - OLDTABLE A'!J79/'Discontinued - TABLE B'!G$120</f>
        <v>130.73710000637999</v>
      </c>
      <c r="H82" s="108">
        <f>'Discontinued - OLDTABLE A'!I79/'Discontinued - TABLE B'!H$120</f>
        <v>128.52210000159369</v>
      </c>
      <c r="I82" s="85"/>
      <c r="J82" s="32">
        <f>'Discontinued - OLDTABLE A'!M79/'Discontinued - TABLE B'!J$120</f>
        <v>131.61840000384325</v>
      </c>
      <c r="K82" s="88">
        <f>'Discontinued - OLDTABLE A'!N79/'Discontinued - TABLE B'!K$120</f>
        <v>128.62960000005145</v>
      </c>
      <c r="L82" s="34">
        <f>'Discontinued - OLDTABLE A'!O79/'Discontinued - TABLE B'!L$120</f>
        <v>131.50619999303018</v>
      </c>
      <c r="M82" s="92">
        <f>'Discontinued - OLDTABLE A'!L79/'Discontinued - TABLE B'!M$120</f>
        <v>130.839799992987</v>
      </c>
      <c r="N82" s="34">
        <f>'Discontinued - OLDTABLE A'!H79/'Discontinued - TABLE B'!N$120</f>
        <v>133.15369999482033</v>
      </c>
      <c r="O82" s="85">
        <f>'Discontinued - OLDTABLE A'!H79/'Discontinued - TABLE B'!O$120</f>
        <v>133.15369999482033</v>
      </c>
      <c r="P82" s="92">
        <f>'Discontinued - OLDTABLE A'!P79/'Discontinued - TABLE B'!P$120</f>
        <v>129.92100000051968</v>
      </c>
      <c r="Q82" s="40">
        <f>'Discontinued - OLDTABLE A'!Q79/'Discontinued - TABLE B'!Q$120</f>
        <v>129.663599994995</v>
      </c>
      <c r="R82" s="34"/>
      <c r="S82" s="32">
        <f>S$120*'Discontinued - OLDTABLE A'!S79</f>
        <v>238.33279999999999</v>
      </c>
      <c r="T82" s="91">
        <f>T$120*'Discontinued - OLDTABLE A'!T79</f>
        <v>310.09699999999998</v>
      </c>
      <c r="U82" s="127">
        <f>U$120*'Discontinued - OLDTABLE A'!U79</f>
        <v>348.726</v>
      </c>
      <c r="V82" s="88">
        <f>V$120*'Discontinued - OLDTABLE A'!V79</f>
        <v>428.17680000000001</v>
      </c>
      <c r="W82" s="34">
        <f>W$120*'Discontinued - OLDTABLE A'!W79</f>
        <v>201.20860000000002</v>
      </c>
      <c r="X82" s="91">
        <f>X$120*'Discontinued - OLDTABLE A'!X79</f>
        <v>229.70160000000001</v>
      </c>
      <c r="Y82" s="127">
        <f>Y$120*'Discontinued - OLDTABLE A'!Y79</f>
        <v>208.5624</v>
      </c>
      <c r="Z82" s="32">
        <f>Z$120*'Discontinued - OLDTABLE A'!Z79</f>
        <v>470.64000000000004</v>
      </c>
      <c r="AA82" s="85">
        <f>AA$120*'Discontinued - OLDTABLE A'!AA79</f>
        <v>472.64200000000005</v>
      </c>
    </row>
    <row r="83" spans="1:27" x14ac:dyDescent="0.25">
      <c r="A83" s="124">
        <v>7</v>
      </c>
      <c r="B83" s="123">
        <v>2013</v>
      </c>
      <c r="C83" s="92">
        <f>'Discontinued - OLDTABLE A'!D80/'Discontinued - TABLE B'!C$120</f>
        <v>130.59419999527248</v>
      </c>
      <c r="D83" s="32">
        <f>'Discontinued - OLDTABLE A'!E80/'Discontinued - TABLE B'!D$120</f>
        <v>131.5248000021044</v>
      </c>
      <c r="E83" s="85">
        <f>'Discontinued - OLDTABLE A'!F80/'Discontinued - TABLE B'!E$120</f>
        <v>133.11810000300846</v>
      </c>
      <c r="F83" s="92">
        <f>'Discontinued - OLDTABLE A'!G80/'Discontinued - TABLE B'!F$120</f>
        <v>133.25700000852845</v>
      </c>
      <c r="G83" s="32">
        <f>'Discontinued - OLDTABLE A'!J80/'Discontinued - TABLE B'!G$120</f>
        <v>132.39200000646073</v>
      </c>
      <c r="H83" s="108">
        <f>'Discontinued - OLDTABLE A'!I80/'Discontinued - TABLE B'!H$120</f>
        <v>130.14580000161382</v>
      </c>
      <c r="I83" s="85"/>
      <c r="J83" s="32">
        <f>'Discontinued - OLDTABLE A'!M80/'Discontinued - TABLE B'!J$120</f>
        <v>133.14000000388768</v>
      </c>
      <c r="K83" s="88">
        <f>'Discontinued - OLDTABLE A'!N80/'Discontinued - TABLE B'!K$120</f>
        <v>129.7492000000519</v>
      </c>
      <c r="L83" s="34">
        <f>'Discontinued - OLDTABLE A'!O80/'Discontinued - TABLE B'!L$120</f>
        <v>132.91199999295566</v>
      </c>
      <c r="M83" s="92">
        <f>'Discontinued - OLDTABLE A'!L80/'Discontinued - TABLE B'!M$120</f>
        <v>132.24119999291187</v>
      </c>
      <c r="N83" s="34">
        <f>'Discontinued - OLDTABLE A'!H80/'Discontinued - TABLE B'!N$120</f>
        <v>134.44269999477018</v>
      </c>
      <c r="O83" s="85">
        <f>'Discontinued - OLDTABLE A'!H80/'Discontinued - TABLE B'!O$120</f>
        <v>134.44269999477018</v>
      </c>
      <c r="P83" s="92">
        <f>'Discontinued - OLDTABLE A'!P80/'Discontinued - TABLE B'!P$120</f>
        <v>131.06400000052426</v>
      </c>
      <c r="Q83" s="40">
        <f>'Discontinued - OLDTABLE A'!Q80/'Discontinued - TABLE B'!Q$120</f>
        <v>130.7921999949514</v>
      </c>
      <c r="R83" s="34"/>
      <c r="S83" s="32">
        <f>S$120*'Discontinued - OLDTABLE A'!S80</f>
        <v>239.46879999999999</v>
      </c>
      <c r="T83" s="91">
        <f>T$120*'Discontinued - OLDTABLE A'!T80</f>
        <v>310.09699999999998</v>
      </c>
      <c r="U83" s="127">
        <f>U$120*'Discontinued - OLDTABLE A'!U80</f>
        <v>352.26800000000003</v>
      </c>
      <c r="V83" s="88">
        <f>V$120*'Discontinued - OLDTABLE A'!V80</f>
        <v>441.45360000000005</v>
      </c>
      <c r="W83" s="34">
        <f>W$120*'Discontinued - OLDTABLE A'!W80</f>
        <v>204.4539</v>
      </c>
      <c r="X83" s="91">
        <f>X$120*'Discontinued - OLDTABLE A'!X80</f>
        <v>234.75240000000002</v>
      </c>
      <c r="Y83" s="127">
        <f>Y$120*'Discontinued - OLDTABLE A'!Y80</f>
        <v>211.35119999999998</v>
      </c>
      <c r="Z83" s="32">
        <f>Z$120*'Discontinued - OLDTABLE A'!Z80</f>
        <v>483.78399999999999</v>
      </c>
      <c r="AA83" s="85">
        <f>AA$120*'Discontinued - OLDTABLE A'!AA80</f>
        <v>485.67750000000001</v>
      </c>
    </row>
    <row r="84" spans="1:27" x14ac:dyDescent="0.25">
      <c r="A84" s="124">
        <v>8</v>
      </c>
      <c r="B84" s="123">
        <v>2013</v>
      </c>
      <c r="C84" s="92">
        <f>'Discontinued - OLDTABLE A'!D81/'Discontinued - TABLE B'!C$120</f>
        <v>130.97309999525876</v>
      </c>
      <c r="D84" s="32">
        <f>'Discontinued - OLDTABLE A'!E81/'Discontinued - TABLE B'!D$120</f>
        <v>131.9064000021105</v>
      </c>
      <c r="E84" s="85">
        <f>'Discontinued - OLDTABLE A'!F81/'Discontinued - TABLE B'!E$120</f>
        <v>133.24500000301134</v>
      </c>
      <c r="F84" s="92">
        <f>'Discontinued - OLDTABLE A'!G81/'Discontinued - TABLE B'!F$120</f>
        <v>133.77300000856147</v>
      </c>
      <c r="G84" s="32">
        <f>'Discontinued - OLDTABLE A'!J81/'Discontinued - TABLE B'!G$120</f>
        <v>132.9012000064856</v>
      </c>
      <c r="H84" s="108">
        <f>'Discontinued - OLDTABLE A'!I81/'Discontinued - TABLE B'!H$120</f>
        <v>130.64540000162</v>
      </c>
      <c r="I84" s="85"/>
      <c r="J84" s="32">
        <f>'Discontinued - OLDTABLE A'!M81/'Discontinued - TABLE B'!J$120</f>
        <v>133.3936000038951</v>
      </c>
      <c r="K84" s="88">
        <f>'Discontinued - OLDTABLE A'!N81/'Discontinued - TABLE B'!K$120</f>
        <v>130.12240000005204</v>
      </c>
      <c r="L84" s="34">
        <f>'Discontinued - OLDTABLE A'!O81/'Discontinued - TABLE B'!L$120</f>
        <v>133.29539999293536</v>
      </c>
      <c r="M84" s="92">
        <f>'Discontinued - OLDTABLE A'!L81/'Discontinued - TABLE B'!M$120</f>
        <v>132.62339999289139</v>
      </c>
      <c r="N84" s="34">
        <f>'Discontinued - OLDTABLE A'!H81/'Discontinued - TABLE B'!N$120</f>
        <v>134.82939999475514</v>
      </c>
      <c r="O84" s="85">
        <f>'Discontinued - OLDTABLE A'!H81/'Discontinued - TABLE B'!O$120</f>
        <v>134.82939999475514</v>
      </c>
      <c r="P84" s="92">
        <f>'Discontinued - OLDTABLE A'!P81/'Discontinued - TABLE B'!P$120</f>
        <v>131.31800000052527</v>
      </c>
      <c r="Q84" s="40">
        <f>'Discontinued - OLDTABLE A'!Q81/'Discontinued - TABLE B'!Q$120</f>
        <v>131.29379999493207</v>
      </c>
      <c r="R84" s="34"/>
      <c r="S84" s="32">
        <f>S$120*'Discontinued - OLDTABLE A'!S81</f>
        <v>239.92319999999995</v>
      </c>
      <c r="T84" s="91">
        <f>T$120*'Discontinued - OLDTABLE A'!T81</f>
        <v>309.51900000000001</v>
      </c>
      <c r="U84" s="127">
        <f>U$120*'Discontinued - OLDTABLE A'!U81</f>
        <v>351.30200000000002</v>
      </c>
      <c r="V84" s="88">
        <f>V$120*'Discontinued - OLDTABLE A'!V81</f>
        <v>455.56020000000001</v>
      </c>
      <c r="W84" s="34">
        <f>W$120*'Discontinued - OLDTABLE A'!W81</f>
        <v>206.3629</v>
      </c>
      <c r="X84" s="91">
        <f>X$120*'Discontinued - OLDTABLE A'!X81</f>
        <v>235.85040000000004</v>
      </c>
      <c r="Y84" s="127">
        <f>Y$120*'Discontinued - OLDTABLE A'!Y81</f>
        <v>212.34719999999999</v>
      </c>
      <c r="Z84" s="32">
        <f>Z$120*'Discontinued - OLDTABLE A'!Z81</f>
        <v>488.87200000000001</v>
      </c>
      <c r="AA84" s="85">
        <f>AA$120*'Discontinued - OLDTABLE A'!AA81</f>
        <v>490.7235</v>
      </c>
    </row>
    <row r="85" spans="1:27" x14ac:dyDescent="0.25">
      <c r="A85" s="124">
        <v>9</v>
      </c>
      <c r="B85" s="123">
        <v>2013</v>
      </c>
      <c r="C85" s="92">
        <f>'Discontinued - OLDTABLE A'!D82/'Discontinued - TABLE B'!C$120</f>
        <v>132.1097999952176</v>
      </c>
      <c r="D85" s="32">
        <f>'Discontinued - OLDTABLE A'!E82/'Discontinued - TABLE B'!D$120</f>
        <v>132.41520000211864</v>
      </c>
      <c r="E85" s="85">
        <f>'Discontinued - OLDTABLE A'!F82/'Discontinued - TABLE B'!E$120</f>
        <v>134.00640000302855</v>
      </c>
      <c r="F85" s="92">
        <f>'Discontinued - OLDTABLE A'!G82/'Discontinued - TABLE B'!F$120</f>
        <v>134.54700000861101</v>
      </c>
      <c r="G85" s="32">
        <f>'Discontinued - OLDTABLE A'!J82/'Discontinued - TABLE B'!G$120</f>
        <v>133.79230000652908</v>
      </c>
      <c r="H85" s="108">
        <f>'Discontinued - OLDTABLE A'!I82/'Discontinued - TABLE B'!H$120</f>
        <v>131.14500000162619</v>
      </c>
      <c r="I85" s="85"/>
      <c r="J85" s="32">
        <f>'Discontinued - OLDTABLE A'!M82/'Discontinued - TABLE B'!J$120</f>
        <v>134.02760000391362</v>
      </c>
      <c r="K85" s="88">
        <f>'Discontinued - OLDTABLE A'!N82/'Discontinued - TABLE B'!K$120</f>
        <v>130.37120000005214</v>
      </c>
      <c r="L85" s="34">
        <f>'Discontinued - OLDTABLE A'!O82/'Discontinued - TABLE B'!L$120</f>
        <v>134.0621999928947</v>
      </c>
      <c r="M85" s="92">
        <f>'Discontinued - OLDTABLE A'!L82/'Discontinued - TABLE B'!M$120</f>
        <v>133.26039999285723</v>
      </c>
      <c r="N85" s="34">
        <f>'Discontinued - OLDTABLE A'!H82/'Discontinued - TABLE B'!N$120</f>
        <v>135.73169999472003</v>
      </c>
      <c r="O85" s="85">
        <f>'Discontinued - OLDTABLE A'!H82/'Discontinued - TABLE B'!O$120</f>
        <v>135.73169999472003</v>
      </c>
      <c r="P85" s="92">
        <f>'Discontinued - OLDTABLE A'!P82/'Discontinued - TABLE B'!P$120</f>
        <v>132.08000000052832</v>
      </c>
      <c r="Q85" s="40">
        <f>'Discontinued - OLDTABLE A'!Q82/'Discontinued - TABLE B'!Q$120</f>
        <v>132.04619999490302</v>
      </c>
      <c r="R85" s="34"/>
      <c r="S85" s="32">
        <f>S$120*'Discontinued - OLDTABLE A'!S82</f>
        <v>238.78719999999996</v>
      </c>
      <c r="T85" s="91">
        <f>T$120*'Discontinued - OLDTABLE A'!T82</f>
        <v>309.51900000000001</v>
      </c>
      <c r="U85" s="127">
        <f>U$120*'Discontinued - OLDTABLE A'!U82</f>
        <v>349.04800000000006</v>
      </c>
      <c r="V85" s="88">
        <f>V$120*'Discontinued - OLDTABLE A'!V82</f>
        <v>462.61349999999999</v>
      </c>
      <c r="W85" s="34">
        <f>W$120*'Discontinued - OLDTABLE A'!W82</f>
        <v>207.31739999999999</v>
      </c>
      <c r="X85" s="91">
        <f>X$120*'Discontinued - OLDTABLE A'!X82</f>
        <v>236.28960000000001</v>
      </c>
      <c r="Y85" s="127">
        <f>Y$120*'Discontinued - OLDTABLE A'!Y82</f>
        <v>213.14400000000001</v>
      </c>
      <c r="Z85" s="32">
        <f>Z$120*'Discontinued - OLDTABLE A'!Z82</f>
        <v>488.44800000000004</v>
      </c>
      <c r="AA85" s="85">
        <f>AA$120*'Discontinued - OLDTABLE A'!AA82</f>
        <v>490.303</v>
      </c>
    </row>
    <row r="86" spans="1:27" x14ac:dyDescent="0.25">
      <c r="A86" s="124">
        <v>10</v>
      </c>
      <c r="B86" s="123">
        <v>2013</v>
      </c>
      <c r="C86" s="92">
        <f>'Discontinued - OLDTABLE A'!D83/'Discontinued - TABLE B'!C$120</f>
        <v>132.48869999520392</v>
      </c>
      <c r="D86" s="32">
        <f>'Discontinued - OLDTABLE A'!E83/'Discontinued - TABLE B'!D$120</f>
        <v>132.66960000212271</v>
      </c>
      <c r="E86" s="85">
        <f>'Discontinued - OLDTABLE A'!F83/'Discontinued - TABLE B'!E$120</f>
        <v>134.13330000303142</v>
      </c>
      <c r="F86" s="92">
        <f>'Discontinued - OLDTABLE A'!G83/'Discontinued - TABLE B'!F$120</f>
        <v>134.8050000086275</v>
      </c>
      <c r="G86" s="32">
        <f>'Discontinued - OLDTABLE A'!J83/'Discontinued - TABLE B'!G$120</f>
        <v>134.04690000654148</v>
      </c>
      <c r="H86" s="108">
        <f>'Discontinued - OLDTABLE A'!I83/'Discontinued - TABLE B'!H$120</f>
        <v>131.14500000162619</v>
      </c>
      <c r="I86" s="85"/>
      <c r="J86" s="32">
        <f>'Discontinued - OLDTABLE A'!M83/'Discontinued - TABLE B'!J$120</f>
        <v>134.28120000392101</v>
      </c>
      <c r="K86" s="88">
        <f>'Discontinued - OLDTABLE A'!N83/'Discontinued - TABLE B'!K$120</f>
        <v>130.74440000005228</v>
      </c>
      <c r="L86" s="34">
        <f>'Discontinued - OLDTABLE A'!O83/'Discontinued - TABLE B'!L$120</f>
        <v>134.18999999288795</v>
      </c>
      <c r="M86" s="92">
        <f>'Discontinued - OLDTABLE A'!L83/'Discontinued - TABLE B'!M$120</f>
        <v>133.76999999282992</v>
      </c>
      <c r="N86" s="34">
        <f>'Discontinued - OLDTABLE A'!H83/'Discontinued - TABLE B'!N$120</f>
        <v>136.2472999947</v>
      </c>
      <c r="O86" s="85">
        <f>'Discontinued - OLDTABLE A'!H83/'Discontinued - TABLE B'!O$120</f>
        <v>136.2472999947</v>
      </c>
      <c r="P86" s="92">
        <f>'Discontinued - OLDTABLE A'!P83/'Discontinued - TABLE B'!P$120</f>
        <v>132.33400000052936</v>
      </c>
      <c r="Q86" s="40">
        <f>'Discontinued - OLDTABLE A'!Q83/'Discontinued - TABLE B'!Q$120</f>
        <v>132.17159999489817</v>
      </c>
      <c r="R86" s="34"/>
      <c r="S86" s="32">
        <f>S$120*'Discontinued - OLDTABLE A'!S83</f>
        <v>239.01439999999999</v>
      </c>
      <c r="T86" s="91">
        <f>T$120*'Discontinued - OLDTABLE A'!T83</f>
        <v>309.80800000000005</v>
      </c>
      <c r="U86" s="127">
        <f>U$120*'Discontinued - OLDTABLE A'!U83</f>
        <v>349.37</v>
      </c>
      <c r="V86" s="88">
        <f>V$120*'Discontinued - OLDTABLE A'!V83</f>
        <v>459.29430000000002</v>
      </c>
      <c r="W86" s="34">
        <f>W$120*'Discontinued - OLDTABLE A'!W83</f>
        <v>209.03550000000001</v>
      </c>
      <c r="X86" s="91">
        <f>X$120*'Discontinued - OLDTABLE A'!X83</f>
        <v>237.60720000000003</v>
      </c>
      <c r="Y86" s="127">
        <f>Y$120*'Discontinued - OLDTABLE A'!Y83</f>
        <v>214.33919999999998</v>
      </c>
      <c r="Z86" s="32">
        <f>Z$120*'Discontinued - OLDTABLE A'!Z83</f>
        <v>482.512</v>
      </c>
      <c r="AA86" s="85">
        <f>AA$120*'Discontinued - OLDTABLE A'!AA83</f>
        <v>483.99549999999999</v>
      </c>
    </row>
    <row r="87" spans="1:27" x14ac:dyDescent="0.25">
      <c r="A87" s="124">
        <v>11</v>
      </c>
      <c r="B87" s="123">
        <v>2013</v>
      </c>
      <c r="C87" s="92">
        <f>'Discontinued - OLDTABLE A'!D84/'Discontinued - TABLE B'!C$120</f>
        <v>132.48869999520392</v>
      </c>
      <c r="D87" s="32">
        <f>'Discontinued - OLDTABLE A'!E84/'Discontinued - TABLE B'!D$120</f>
        <v>132.9240000021268</v>
      </c>
      <c r="E87" s="85">
        <f>'Discontinued - OLDTABLE A'!F84/'Discontinued - TABLE B'!E$120</f>
        <v>134.13330000303142</v>
      </c>
      <c r="F87" s="92">
        <f>'Discontinued - OLDTABLE A'!G84/'Discontinued - TABLE B'!F$120</f>
        <v>135.19200000865229</v>
      </c>
      <c r="G87" s="32">
        <f>'Discontinued - OLDTABLE A'!J84/'Discontinued - TABLE B'!G$120</f>
        <v>134.42880000656012</v>
      </c>
      <c r="H87" s="108">
        <f>'Discontinued - OLDTABLE A'!I84/'Discontinued - TABLE B'!H$120</f>
        <v>131.02010000162466</v>
      </c>
      <c r="I87" s="85"/>
      <c r="J87" s="32">
        <f>'Discontinued - OLDTABLE A'!M84/'Discontinued - TABLE B'!J$120</f>
        <v>134.15440000391729</v>
      </c>
      <c r="K87" s="88">
        <f>'Discontinued - OLDTABLE A'!N84/'Discontinued - TABLE B'!K$120</f>
        <v>130.62000000005224</v>
      </c>
      <c r="L87" s="34">
        <f>'Discontinued - OLDTABLE A'!O84/'Discontinued - TABLE B'!L$120</f>
        <v>134.31779999288116</v>
      </c>
      <c r="M87" s="92">
        <f>'Discontinued - OLDTABLE A'!L84/'Discontinued - TABLE B'!M$120</f>
        <v>133.64259999283678</v>
      </c>
      <c r="N87" s="34">
        <f>'Discontinued - OLDTABLE A'!H84/'Discontinued - TABLE B'!N$120</f>
        <v>136.50509999468997</v>
      </c>
      <c r="O87" s="85">
        <f>'Discontinued - OLDTABLE A'!H84/'Discontinued - TABLE B'!O$120</f>
        <v>136.50509999468997</v>
      </c>
      <c r="P87" s="92">
        <f>'Discontinued - OLDTABLE A'!P84/'Discontinued - TABLE B'!P$120</f>
        <v>132.33400000052936</v>
      </c>
      <c r="Q87" s="40">
        <f>'Discontinued - OLDTABLE A'!Q84/'Discontinued - TABLE B'!Q$120</f>
        <v>132.42239999488848</v>
      </c>
      <c r="R87" s="34"/>
      <c r="S87" s="32">
        <f>S$120*'Discontinued - OLDTABLE A'!S84</f>
        <v>238.78719999999996</v>
      </c>
      <c r="T87" s="91">
        <f>T$120*'Discontinued - OLDTABLE A'!T84</f>
        <v>309.51900000000001</v>
      </c>
      <c r="U87" s="127">
        <f>U$120*'Discontinued - OLDTABLE A'!U84</f>
        <v>347.11599999999999</v>
      </c>
      <c r="V87" s="88">
        <f>V$120*'Discontinued - OLDTABLE A'!V84</f>
        <v>458.0496</v>
      </c>
      <c r="W87" s="34">
        <f>W$120*'Discontinued - OLDTABLE A'!W84</f>
        <v>209.79910000000001</v>
      </c>
      <c r="X87" s="91">
        <f>X$120*'Discontinued - OLDTABLE A'!X84</f>
        <v>238.48560000000001</v>
      </c>
      <c r="Y87" s="127">
        <f>Y$120*'Discontinued - OLDTABLE A'!Y84</f>
        <v>215.33519999999999</v>
      </c>
      <c r="Z87" s="32">
        <f>Z$120*'Discontinued - OLDTABLE A'!Z84</f>
        <v>486.32800000000003</v>
      </c>
      <c r="AA87" s="85">
        <f>AA$120*'Discontinued - OLDTABLE A'!AA84</f>
        <v>488.20049999999998</v>
      </c>
    </row>
    <row r="88" spans="1:27" ht="15.75" thickBot="1" x14ac:dyDescent="0.3">
      <c r="A88" s="124">
        <v>12</v>
      </c>
      <c r="B88" s="123">
        <v>2013</v>
      </c>
      <c r="C88" s="92">
        <f>'Discontinued - OLDTABLE A'!D85/'Discontinued - TABLE B'!C$120</f>
        <v>132.61499999519933</v>
      </c>
      <c r="D88" s="32">
        <f>'Discontinued - OLDTABLE A'!E85/'Discontinued - TABLE B'!D$120</f>
        <v>133.43280000213494</v>
      </c>
      <c r="E88" s="85">
        <f>'Discontinued - OLDTABLE A'!F85/'Discontinued - TABLE B'!E$120</f>
        <v>134.76780000304575</v>
      </c>
      <c r="F88" s="92">
        <f>'Discontinued - OLDTABLE A'!G85/'Discontinued - TABLE B'!F$120</f>
        <v>135.7080000086853</v>
      </c>
      <c r="G88" s="32">
        <f>'Discontinued - OLDTABLE A'!J85/'Discontinued - TABLE B'!G$120</f>
        <v>134.81070000657877</v>
      </c>
      <c r="H88" s="108">
        <f>'Discontinued - OLDTABLE A'!I85/'Discontinued - TABLE B'!H$120</f>
        <v>131.39480000162931</v>
      </c>
      <c r="I88" s="85"/>
      <c r="J88" s="32">
        <f>'Discontinued - OLDTABLE A'!M85/'Discontinued - TABLE B'!J$120</f>
        <v>134.78840000393581</v>
      </c>
      <c r="K88" s="88">
        <f>'Discontinued - OLDTABLE A'!N85/'Discontinued - TABLE B'!K$120</f>
        <v>131.24200000005251</v>
      </c>
      <c r="L88" s="34">
        <f>'Discontinued - OLDTABLE A'!O85/'Discontinued - TABLE B'!L$120</f>
        <v>134.57339999286762</v>
      </c>
      <c r="M88" s="92">
        <f>'Discontinued - OLDTABLE A'!L85/'Discontinued - TABLE B'!M$120</f>
        <v>134.40699999279579</v>
      </c>
      <c r="N88" s="34">
        <f>'Discontinued - OLDTABLE A'!H85/'Discontinued - TABLE B'!N$120</f>
        <v>136.89179999467493</v>
      </c>
      <c r="O88" s="85">
        <f>'Discontinued - OLDTABLE A'!H85/'Discontinued - TABLE B'!O$120</f>
        <v>136.89179999467493</v>
      </c>
      <c r="P88" s="92">
        <f>'Discontinued - OLDTABLE A'!P85/'Discontinued - TABLE B'!P$120</f>
        <v>132.71500000053086</v>
      </c>
      <c r="Q88" s="40">
        <f>'Discontinued - OLDTABLE A'!Q85/'Discontinued - TABLE B'!Q$120</f>
        <v>132.79859999487397</v>
      </c>
      <c r="R88" s="34"/>
      <c r="S88" s="32">
        <f>S$120*'Discontinued - OLDTABLE A'!S85</f>
        <v>238.78719999999996</v>
      </c>
      <c r="T88" s="91">
        <f>T$120*'Discontinued - OLDTABLE A'!T85</f>
        <v>309.23</v>
      </c>
      <c r="U88" s="127">
        <f>U$120*'Discontinued - OLDTABLE A'!U85</f>
        <v>347.76000000000005</v>
      </c>
      <c r="V88" s="88">
        <f>V$120*'Discontinued - OLDTABLE A'!V85</f>
        <v>467.59230000000002</v>
      </c>
      <c r="W88" s="34">
        <f>W$120*'Discontinued - OLDTABLE A'!W85</f>
        <v>210.18089999999998</v>
      </c>
      <c r="X88" s="91">
        <f>X$120*'Discontinued - OLDTABLE A'!X85</f>
        <v>238.70520000000002</v>
      </c>
      <c r="Y88" s="127">
        <f>Y$120*'Discontinued - OLDTABLE A'!Y85</f>
        <v>215.93280000000001</v>
      </c>
      <c r="Z88" s="32">
        <f>Z$120*'Discontinued - OLDTABLE A'!Z85</f>
        <v>486.32800000000003</v>
      </c>
      <c r="AA88" s="85">
        <f>AA$120*'Discontinued - OLDTABLE A'!AA85</f>
        <v>488.20049999999998</v>
      </c>
    </row>
    <row r="89" spans="1:27" ht="15.75" thickTop="1" x14ac:dyDescent="0.25">
      <c r="A89" s="167">
        <v>1</v>
      </c>
      <c r="B89" s="168">
        <v>2014</v>
      </c>
      <c r="C89" s="169">
        <f>'Discontinued - OLDTABLE A'!D86/'Discontinued - TABLE B'!C$120</f>
        <v>133.75169999515819</v>
      </c>
      <c r="D89" s="170">
        <f>'Discontinued - OLDTABLE A'!E86/'Discontinued - TABLE B'!D$120</f>
        <v>134.06880000214511</v>
      </c>
      <c r="E89" s="171">
        <f>'Discontinued - OLDTABLE A'!F86/'Discontinued - TABLE B'!E$120</f>
        <v>135.2754000030572</v>
      </c>
      <c r="F89" s="169">
        <f>'Discontinued - OLDTABLE A'!G86/'Discontinued - TABLE B'!F$120</f>
        <v>136.6110000087431</v>
      </c>
      <c r="G89" s="170">
        <f>'Discontinued - OLDTABLE A'!J86/'Discontinued - TABLE B'!G$120</f>
        <v>135.70180000662225</v>
      </c>
      <c r="H89" s="338">
        <f>'Discontinued - OLDTABLE A'!I86/'Discontinued - TABLE B'!H$120</f>
        <v>132.26910000164014</v>
      </c>
      <c r="I89" s="171"/>
      <c r="J89" s="170">
        <f>'Discontinued - OLDTABLE A'!M86/'Discontinued - TABLE B'!J$120</f>
        <v>135.67600000396175</v>
      </c>
      <c r="K89" s="172">
        <f>'Discontinued - OLDTABLE A'!N86/'Discontinued - TABLE B'!K$120</f>
        <v>132.11280000005286</v>
      </c>
      <c r="L89" s="176">
        <f>'Discontinued - OLDTABLE A'!O86/'Discontinued - TABLE B'!L$120</f>
        <v>135.46799999282021</v>
      </c>
      <c r="M89" s="169">
        <f>'Discontinued - OLDTABLE A'!L86/'Discontinued - TABLE B'!M$120</f>
        <v>135.298799992748</v>
      </c>
      <c r="N89" s="176">
        <f>'Discontinued - OLDTABLE A'!H86/'Discontinued - TABLE B'!N$120</f>
        <v>137.66519999464484</v>
      </c>
      <c r="O89" s="171">
        <f>'Discontinued - OLDTABLE A'!H86/'Discontinued - TABLE B'!O$120</f>
        <v>137.66519999464484</v>
      </c>
      <c r="P89" s="169">
        <f>'Discontinued - OLDTABLE A'!P86/'Discontinued - TABLE B'!P$120</f>
        <v>133.60400000053443</v>
      </c>
      <c r="Q89" s="173">
        <f>'Discontinued - OLDTABLE A'!Q86/'Discontinued - TABLE B'!Q$120</f>
        <v>134.05259999482558</v>
      </c>
      <c r="R89" s="34"/>
      <c r="S89" s="170">
        <f>S$120*'Discontinued - OLDTABLE A'!S86</f>
        <v>240.60479999999998</v>
      </c>
      <c r="T89" s="174">
        <f>T$120*'Discontinued - OLDTABLE A'!T86</f>
        <v>312.40899999999999</v>
      </c>
      <c r="U89" s="175">
        <f>U$120*'Discontinued - OLDTABLE A'!U86</f>
        <v>351.30200000000002</v>
      </c>
      <c r="V89" s="172">
        <f>V$120*'Discontinued - OLDTABLE A'!V86</f>
        <v>481.28399999999999</v>
      </c>
      <c r="W89" s="176">
        <f>W$120*'Discontinued - OLDTABLE A'!W86</f>
        <v>211.3263</v>
      </c>
      <c r="X89" s="174">
        <f>X$120*'Discontinued - OLDTABLE A'!X86</f>
        <v>238.9248</v>
      </c>
      <c r="Y89" s="175">
        <f>Y$120*'Discontinued - OLDTABLE A'!Y86</f>
        <v>215.93280000000001</v>
      </c>
      <c r="Z89" s="170">
        <f>Z$120*'Discontinued - OLDTABLE A'!Z86</f>
        <v>498.62400000000002</v>
      </c>
      <c r="AA89" s="171">
        <f>AA$120*'Discontinued - OLDTABLE A'!AA86</f>
        <v>500.81549999999999</v>
      </c>
    </row>
    <row r="90" spans="1:27" x14ac:dyDescent="0.25">
      <c r="A90" s="124">
        <v>2</v>
      </c>
      <c r="B90" s="123">
        <v>2014</v>
      </c>
      <c r="C90" s="92">
        <f>'Discontinued - OLDTABLE A'!D87/'Discontinued - TABLE B'!C$120</f>
        <v>134.76209999512162</v>
      </c>
      <c r="D90" s="32">
        <f>'Discontinued - OLDTABLE A'!E87/'Discontinued - TABLE B'!D$120</f>
        <v>135.59520000216952</v>
      </c>
      <c r="E90" s="85">
        <f>'Discontinued - OLDTABLE A'!F87/'Discontinued - TABLE B'!E$120</f>
        <v>137.30580000310312</v>
      </c>
      <c r="F90" s="92">
        <f>'Discontinued - OLDTABLE A'!G87/'Discontinued - TABLE B'!F$120</f>
        <v>137.64300000880914</v>
      </c>
      <c r="G90" s="32">
        <f>'Discontinued - OLDTABLE A'!J87/'Discontinued - TABLE B'!G$120</f>
        <v>137.73860000672164</v>
      </c>
      <c r="H90" s="108">
        <f>'Discontinued - OLDTABLE A'!I87/'Discontinued - TABLE B'!H$120</f>
        <v>133.64300000165719</v>
      </c>
      <c r="I90" s="85"/>
      <c r="J90" s="32">
        <f>'Discontinued - OLDTABLE A'!M87/'Discontinued - TABLE B'!J$120</f>
        <v>137.45120000401357</v>
      </c>
      <c r="K90" s="88">
        <f>'Discontinued - OLDTABLE A'!N87/'Discontinued - TABLE B'!K$120</f>
        <v>133.97880000005361</v>
      </c>
      <c r="L90" s="34">
        <f>'Discontinued - OLDTABLE A'!O87/'Discontinued - TABLE B'!L$120</f>
        <v>137.25719999272539</v>
      </c>
      <c r="M90" s="92">
        <f>'Discontinued - OLDTABLE A'!L87/'Discontinued - TABLE B'!M$120</f>
        <v>136.70019999267288</v>
      </c>
      <c r="N90" s="34">
        <f>'Discontinued - OLDTABLE A'!H87/'Discontinued - TABLE B'!N$120</f>
        <v>138.95419999459469</v>
      </c>
      <c r="O90" s="85">
        <f>'Discontinued - OLDTABLE A'!H87/'Discontinued - TABLE B'!O$120</f>
        <v>138.95419999459469</v>
      </c>
      <c r="P90" s="92">
        <f>'Discontinued - OLDTABLE A'!P87/'Discontinued - TABLE B'!P$120</f>
        <v>135.00100000054002</v>
      </c>
      <c r="Q90" s="40">
        <f>'Discontinued - OLDTABLE A'!Q87/'Discontinued - TABLE B'!Q$120</f>
        <v>135.18119999478199</v>
      </c>
      <c r="R90" s="34"/>
      <c r="S90" s="32">
        <f>S$120*'Discontinued - OLDTABLE A'!S87</f>
        <v>240.83199999999997</v>
      </c>
      <c r="T90" s="91">
        <f>T$120*'Discontinued - OLDTABLE A'!T87</f>
        <v>321.65699999999998</v>
      </c>
      <c r="U90" s="127">
        <f>U$120*'Discontinued - OLDTABLE A'!U87</f>
        <v>363.21600000000001</v>
      </c>
      <c r="V90" s="88">
        <f>V$120*'Discontinued - OLDTABLE A'!V87</f>
        <v>494.14589999999998</v>
      </c>
      <c r="W90" s="34">
        <f>W$120*'Discontinued - OLDTABLE A'!W87</f>
        <v>214.38069999999999</v>
      </c>
      <c r="X90" s="91">
        <f>X$120*'Discontinued - OLDTABLE A'!X87</f>
        <v>254.29680000000002</v>
      </c>
      <c r="Y90" s="127">
        <f>Y$120*'Discontinued - OLDTABLE A'!Y87</f>
        <v>217.12799999999999</v>
      </c>
      <c r="Z90" s="32">
        <f>Z$120*'Discontinued - OLDTABLE A'!Z87</f>
        <v>509.22399999999999</v>
      </c>
      <c r="AA90" s="85">
        <f>AA$120*'Discontinued - OLDTABLE A'!AA87</f>
        <v>511.74850000000004</v>
      </c>
    </row>
    <row r="91" spans="1:27" x14ac:dyDescent="0.25">
      <c r="A91" s="124">
        <v>3</v>
      </c>
      <c r="B91" s="123">
        <v>2014</v>
      </c>
      <c r="C91" s="92">
        <f>'Discontinued - OLDTABLE A'!D88/'Discontinued - TABLE B'!C$120</f>
        <v>136.65659999505303</v>
      </c>
      <c r="D91" s="32">
        <f>'Discontinued - OLDTABLE A'!E88/'Discontinued - TABLE B'!D$120</f>
        <v>137.50320000220006</v>
      </c>
      <c r="E91" s="85">
        <f>'Discontinued - OLDTABLE A'!F88/'Discontinued - TABLE B'!E$120</f>
        <v>138.70170000313465</v>
      </c>
      <c r="F91" s="92">
        <f>'Discontinued - OLDTABLE A'!G88/'Discontinued - TABLE B'!F$120</f>
        <v>139.32000000891648</v>
      </c>
      <c r="G91" s="32">
        <f>'Discontinued - OLDTABLE A'!J88/'Discontinued - TABLE B'!G$120</f>
        <v>139.39350000680241</v>
      </c>
      <c r="H91" s="108">
        <f>'Discontinued - OLDTABLE A'!I88/'Discontinued - TABLE B'!H$120</f>
        <v>135.64140000168194</v>
      </c>
      <c r="I91" s="85"/>
      <c r="J91" s="32">
        <f>'Discontinued - OLDTABLE A'!M88/'Discontinued - TABLE B'!J$120</f>
        <v>139.48000000407282</v>
      </c>
      <c r="K91" s="88">
        <f>'Discontinued - OLDTABLE A'!N88/'Discontinued - TABLE B'!K$120</f>
        <v>135.59600000005423</v>
      </c>
      <c r="L91" s="34">
        <f>'Discontinued - OLDTABLE A'!O88/'Discontinued - TABLE B'!L$120</f>
        <v>139.04639999263054</v>
      </c>
      <c r="M91" s="92">
        <f>'Discontinued - OLDTABLE A'!L88/'Discontinued - TABLE B'!M$120</f>
        <v>138.3563999925841</v>
      </c>
      <c r="N91" s="34">
        <f>'Discontinued - OLDTABLE A'!H88/'Discontinued - TABLE B'!N$120</f>
        <v>140.75879999452448</v>
      </c>
      <c r="O91" s="85">
        <f>'Discontinued - OLDTABLE A'!H88/'Discontinued - TABLE B'!O$120</f>
        <v>140.75879999452448</v>
      </c>
      <c r="P91" s="92">
        <f>'Discontinued - OLDTABLE A'!P88/'Discontinued - TABLE B'!P$120</f>
        <v>136.27100000054509</v>
      </c>
      <c r="Q91" s="40">
        <f>'Discontinued - OLDTABLE A'!Q88/'Discontinued - TABLE B'!Q$120</f>
        <v>136.68599999472391</v>
      </c>
      <c r="R91" s="34"/>
      <c r="S91" s="32">
        <f>S$120*'Discontinued - OLDTABLE A'!S88</f>
        <v>243.33119999999997</v>
      </c>
      <c r="T91" s="91">
        <f>T$120*'Discontinued - OLDTABLE A'!T88</f>
        <v>323.96899999999999</v>
      </c>
      <c r="U91" s="127">
        <f>U$120*'Discontinued - OLDTABLE A'!U88</f>
        <v>368.04599999999999</v>
      </c>
      <c r="V91" s="88">
        <f>V$120*'Discontinued - OLDTABLE A'!V88</f>
        <v>493.31610000000001</v>
      </c>
      <c r="W91" s="34">
        <f>W$120*'Discontinued - OLDTABLE A'!W88</f>
        <v>213.99889999999999</v>
      </c>
      <c r="X91" s="91">
        <f>X$120*'Discontinued - OLDTABLE A'!X88</f>
        <v>255.17520000000002</v>
      </c>
      <c r="Y91" s="127">
        <f>Y$120*'Discontinued - OLDTABLE A'!Y88</f>
        <v>218.124</v>
      </c>
      <c r="Z91" s="32">
        <f>Z$120*'Discontinued - OLDTABLE A'!Z88</f>
        <v>519.82399999999996</v>
      </c>
      <c r="AA91" s="85">
        <f>AA$120*'Discontinued - OLDTABLE A'!AA88</f>
        <v>522.68150000000003</v>
      </c>
    </row>
    <row r="92" spans="1:27" x14ac:dyDescent="0.25">
      <c r="A92" s="124">
        <v>4</v>
      </c>
      <c r="B92" s="123">
        <v>2014</v>
      </c>
      <c r="C92" s="92">
        <f>'Discontinued - OLDTABLE A'!D89/'Discontinued - TABLE B'!C$120</f>
        <v>137.16179999503473</v>
      </c>
      <c r="D92" s="32">
        <f>'Discontinued - OLDTABLE A'!E89/'Discontinued - TABLE B'!D$120</f>
        <v>138.0120000022082</v>
      </c>
      <c r="E92" s="85">
        <f>'Discontinued - OLDTABLE A'!F89/'Discontinued - TABLE B'!E$120</f>
        <v>138.82860000313752</v>
      </c>
      <c r="F92" s="92">
        <f>'Discontinued - OLDTABLE A'!G89/'Discontinued - TABLE B'!F$120</f>
        <v>139.8360000089495</v>
      </c>
      <c r="G92" s="32">
        <f>'Discontinued - OLDTABLE A'!J89/'Discontinued - TABLE B'!G$120</f>
        <v>139.90270000682727</v>
      </c>
      <c r="H92" s="108">
        <f>'Discontinued - OLDTABLE A'!I89/'Discontinued - TABLE B'!H$120</f>
        <v>136.26590000168969</v>
      </c>
      <c r="I92" s="85"/>
      <c r="J92" s="32">
        <f>'Discontinued - OLDTABLE A'!M89/'Discontinued - TABLE B'!J$120</f>
        <v>140.24080000409501</v>
      </c>
      <c r="K92" s="88">
        <f>'Discontinued - OLDTABLE A'!N89/'Discontinued - TABLE B'!K$120</f>
        <v>136.2180000000545</v>
      </c>
      <c r="L92" s="34">
        <f>'Discontinued - OLDTABLE A'!O89/'Discontinued - TABLE B'!L$120</f>
        <v>139.55759999260346</v>
      </c>
      <c r="M92" s="92">
        <f>'Discontinued - OLDTABLE A'!L89/'Discontinued - TABLE B'!M$120</f>
        <v>138.99339999254997</v>
      </c>
      <c r="N92" s="34">
        <f>'Discontinued - OLDTABLE A'!H89/'Discontinued - TABLE B'!N$120</f>
        <v>141.40329999449941</v>
      </c>
      <c r="O92" s="85">
        <f>'Discontinued - OLDTABLE A'!H89/'Discontinued - TABLE B'!O$120</f>
        <v>141.40329999449941</v>
      </c>
      <c r="P92" s="92">
        <f>'Discontinued - OLDTABLE A'!P89/'Discontinued - TABLE B'!P$120</f>
        <v>136.90600000054764</v>
      </c>
      <c r="Q92" s="40">
        <f>'Discontinued - OLDTABLE A'!Q89/'Discontinued - TABLE B'!Q$120</f>
        <v>137.18759999470456</v>
      </c>
      <c r="R92" s="34"/>
      <c r="S92" s="32">
        <f>S$120*'Discontinued - OLDTABLE A'!S89</f>
        <v>244.23999999999998</v>
      </c>
      <c r="T92" s="91">
        <f>T$120*'Discontinued - OLDTABLE A'!T89</f>
        <v>325.41399999999999</v>
      </c>
      <c r="U92" s="127">
        <f>U$120*'Discontinued - OLDTABLE A'!U89</f>
        <v>367.72400000000005</v>
      </c>
      <c r="V92" s="88">
        <f>V$120*'Discontinued - OLDTABLE A'!V89</f>
        <v>482.9436</v>
      </c>
      <c r="W92" s="34">
        <f>W$120*'Discontinued - OLDTABLE A'!W89</f>
        <v>215.52610000000001</v>
      </c>
      <c r="X92" s="91">
        <f>X$120*'Discontinued - OLDTABLE A'!X89</f>
        <v>258.03000000000003</v>
      </c>
      <c r="Y92" s="127">
        <f>Y$120*'Discontinued - OLDTABLE A'!Y89</f>
        <v>221.90880000000001</v>
      </c>
      <c r="Z92" s="32">
        <f>Z$120*'Discontinued - OLDTABLE A'!Z89</f>
        <v>516.00800000000004</v>
      </c>
      <c r="AA92" s="85">
        <f>AA$120*'Discontinued - OLDTABLE A'!AA89</f>
        <v>518.05600000000004</v>
      </c>
    </row>
    <row r="93" spans="1:27" x14ac:dyDescent="0.25">
      <c r="A93" s="124">
        <v>5</v>
      </c>
      <c r="B93" s="123">
        <v>2014</v>
      </c>
      <c r="C93" s="92">
        <f>'Discontinued - OLDTABLE A'!D90/'Discontinued - TABLE B'!C$120</f>
        <v>137.54069999502101</v>
      </c>
      <c r="D93" s="32">
        <f>'Discontinued - OLDTABLE A'!E90/'Discontinued - TABLE B'!D$120</f>
        <v>138.3936000022143</v>
      </c>
      <c r="E93" s="85">
        <f>'Discontinued - OLDTABLE A'!F90/'Discontinued - TABLE B'!E$120</f>
        <v>139.08240000314325</v>
      </c>
      <c r="F93" s="92">
        <f>'Discontinued - OLDTABLE A'!G90/'Discontinued - TABLE B'!F$120</f>
        <v>140.35200000898251</v>
      </c>
      <c r="G93" s="32">
        <f>'Discontinued - OLDTABLE A'!J90/'Discontinued - TABLE B'!G$120</f>
        <v>140.41190000685211</v>
      </c>
      <c r="H93" s="108">
        <f>'Discontinued - OLDTABLE A'!I90/'Discontinued - TABLE B'!H$120</f>
        <v>136.64060000169434</v>
      </c>
      <c r="I93" s="85"/>
      <c r="J93" s="32">
        <f>'Discontinued - OLDTABLE A'!M90/'Discontinued - TABLE B'!J$120</f>
        <v>140.36760000409873</v>
      </c>
      <c r="K93" s="88">
        <f>'Discontinued - OLDTABLE A'!N90/'Discontinued - TABLE B'!K$120</f>
        <v>136.34240000005454</v>
      </c>
      <c r="L93" s="34">
        <f>'Discontinued - OLDTABLE A'!O90/'Discontinued - TABLE B'!L$120</f>
        <v>139.68539999259667</v>
      </c>
      <c r="M93" s="92">
        <f>'Discontinued - OLDTABLE A'!L90/'Discontinued - TABLE B'!M$120</f>
        <v>139.24819999253631</v>
      </c>
      <c r="N93" s="34">
        <f>'Discontinued - OLDTABLE A'!H90/'Discontinued - TABLE B'!N$120</f>
        <v>141.6610999944894</v>
      </c>
      <c r="O93" s="85">
        <f>'Discontinued - OLDTABLE A'!H90/'Discontinued - TABLE B'!O$120</f>
        <v>141.6610999944894</v>
      </c>
      <c r="P93" s="92">
        <f>'Discontinued - OLDTABLE A'!P90/'Discontinued - TABLE B'!P$120</f>
        <v>137.41400000054966</v>
      </c>
      <c r="Q93" s="40">
        <f>'Discontinued - OLDTABLE A'!Q90/'Discontinued - TABLE B'!Q$120</f>
        <v>137.6891999946852</v>
      </c>
      <c r="R93" s="34"/>
      <c r="S93" s="32">
        <f>S$120*'Discontinued - OLDTABLE A'!S90</f>
        <v>244.69439999999997</v>
      </c>
      <c r="T93" s="91">
        <f>T$120*'Discontinued - OLDTABLE A'!T90</f>
        <v>324.83600000000001</v>
      </c>
      <c r="U93" s="127">
        <f>U$120*'Discontinued - OLDTABLE A'!U90</f>
        <v>365.79200000000003</v>
      </c>
      <c r="V93" s="88">
        <f>V$120*'Discontinued - OLDTABLE A'!V90</f>
        <v>475.06049999999999</v>
      </c>
      <c r="W93" s="34">
        <f>W$120*'Discontinued - OLDTABLE A'!W90</f>
        <v>216.48060000000001</v>
      </c>
      <c r="X93" s="91">
        <f>X$120*'Discontinued - OLDTABLE A'!X90</f>
        <v>258.4692</v>
      </c>
      <c r="Y93" s="127">
        <f>Y$120*'Discontinued - OLDTABLE A'!Y90</f>
        <v>222.7056</v>
      </c>
      <c r="Z93" s="32">
        <f>Z$120*'Discontinued - OLDTABLE A'!Z90</f>
        <v>504.56</v>
      </c>
      <c r="AA93" s="85">
        <f>AA$120*'Discontinued - OLDTABLE A'!AA90</f>
        <v>505.86149999999998</v>
      </c>
    </row>
    <row r="94" spans="1:27" x14ac:dyDescent="0.25">
      <c r="A94" s="124">
        <v>6</v>
      </c>
      <c r="B94" s="123">
        <v>2014</v>
      </c>
      <c r="C94" s="92">
        <f>'Discontinued - OLDTABLE A'!D91/'Discontinued - TABLE B'!C$120</f>
        <v>137.9195999950073</v>
      </c>
      <c r="D94" s="32">
        <f>'Discontinued - OLDTABLE A'!E91/'Discontinued - TABLE B'!D$120</f>
        <v>139.15680000222653</v>
      </c>
      <c r="E94" s="85">
        <f>'Discontinued - OLDTABLE A'!F91/'Discontinued - TABLE B'!E$120</f>
        <v>139.7169000031576</v>
      </c>
      <c r="F94" s="92">
        <f>'Discontinued - OLDTABLE A'!G91/'Discontinued - TABLE B'!F$120</f>
        <v>140.86800000901556</v>
      </c>
      <c r="G94" s="32">
        <f>'Discontinued - OLDTABLE A'!J91/'Discontinued - TABLE B'!G$120</f>
        <v>140.28460000684589</v>
      </c>
      <c r="H94" s="108">
        <f>'Discontinued - OLDTABLE A'!I91/'Discontinued - TABLE B'!H$120</f>
        <v>136.7655000016959</v>
      </c>
      <c r="I94" s="85"/>
      <c r="J94" s="32">
        <f>'Discontinued - OLDTABLE A'!M91/'Discontinued - TABLE B'!J$120</f>
        <v>141.00160000411725</v>
      </c>
      <c r="K94" s="88">
        <f>'Discontinued - OLDTABLE A'!N91/'Discontinued - TABLE B'!K$120</f>
        <v>136.84000000005474</v>
      </c>
      <c r="L94" s="34">
        <f>'Discontinued - OLDTABLE A'!O91/'Discontinued - TABLE B'!L$120</f>
        <v>139.94099999258313</v>
      </c>
      <c r="M94" s="92">
        <f>'Discontinued - OLDTABLE A'!L91/'Discontinued - TABLE B'!M$120</f>
        <v>140.01259999249535</v>
      </c>
      <c r="N94" s="34">
        <f>'Discontinued - OLDTABLE A'!H91/'Discontinued - TABLE B'!N$120</f>
        <v>142.04779999447436</v>
      </c>
      <c r="O94" s="85">
        <f>'Discontinued - OLDTABLE A'!H91/'Discontinued - TABLE B'!O$120</f>
        <v>142.04779999447436</v>
      </c>
      <c r="P94" s="92">
        <f>'Discontinued - OLDTABLE A'!P91/'Discontinued - TABLE B'!P$120</f>
        <v>138.04900000055221</v>
      </c>
      <c r="Q94" s="40">
        <f>'Discontinued - OLDTABLE A'!Q91/'Discontinued - TABLE B'!Q$120</f>
        <v>137.6891999946852</v>
      </c>
      <c r="R94" s="34"/>
      <c r="S94" s="32">
        <f>S$120*'Discontinued - OLDTABLE A'!S91</f>
        <v>245.37599999999998</v>
      </c>
      <c r="T94" s="91">
        <f>T$120*'Discontinued - OLDTABLE A'!T91</f>
        <v>324.83600000000001</v>
      </c>
      <c r="U94" s="127">
        <f>U$120*'Discontinued - OLDTABLE A'!U91</f>
        <v>367.40199999999999</v>
      </c>
      <c r="V94" s="88">
        <f>V$120*'Discontinued - OLDTABLE A'!V91</f>
        <v>472.98599999999999</v>
      </c>
      <c r="W94" s="34">
        <f>W$120*'Discontinued - OLDTABLE A'!W91</f>
        <v>216.86239999999998</v>
      </c>
      <c r="X94" s="91">
        <f>X$120*'Discontinued - OLDTABLE A'!X91</f>
        <v>256.27320000000003</v>
      </c>
      <c r="Y94" s="127">
        <f>Y$120*'Discontinued - OLDTABLE A'!Y91</f>
        <v>220.9128</v>
      </c>
      <c r="Z94" s="32">
        <f>Z$120*'Discontinued - OLDTABLE A'!Z91</f>
        <v>495.65600000000006</v>
      </c>
      <c r="AA94" s="85">
        <f>AA$120*'Discontinued - OLDTABLE A'!AA91</f>
        <v>496.19</v>
      </c>
    </row>
    <row r="95" spans="1:27" x14ac:dyDescent="0.25">
      <c r="A95" s="124">
        <v>7</v>
      </c>
      <c r="B95" s="123">
        <v>2014</v>
      </c>
      <c r="C95" s="92">
        <f>'Discontinued - OLDTABLE A'!D92/'Discontinued - TABLE B'!C$120</f>
        <v>139.05629999496614</v>
      </c>
      <c r="D95" s="32">
        <f>'Discontinued - OLDTABLE A'!E92/'Discontinued - TABLE B'!D$120</f>
        <v>140.55600000224891</v>
      </c>
      <c r="E95" s="85">
        <f>'Discontinued - OLDTABLE A'!F92/'Discontinued - TABLE B'!E$120</f>
        <v>141.23970000319201</v>
      </c>
      <c r="F95" s="92">
        <f>'Discontinued - OLDTABLE A'!G92/'Discontinued - TABLE B'!F$120</f>
        <v>143.44800000918067</v>
      </c>
      <c r="G95" s="32">
        <f>'Discontinued - OLDTABLE A'!J92/'Discontinued - TABLE B'!G$120</f>
        <v>140.92110000687697</v>
      </c>
      <c r="H95" s="108">
        <f>'Discontinued - OLDTABLE A'!I92/'Discontinued - TABLE B'!H$120</f>
        <v>138.51410000171759</v>
      </c>
      <c r="I95" s="85"/>
      <c r="J95" s="32">
        <f>'Discontinued - OLDTABLE A'!M92/'Discontinued - TABLE B'!J$120</f>
        <v>142.14280000415056</v>
      </c>
      <c r="K95" s="88">
        <f>'Discontinued - OLDTABLE A'!N92/'Discontinued - TABLE B'!K$120</f>
        <v>137.58640000005502</v>
      </c>
      <c r="L95" s="34">
        <f>'Discontinued - OLDTABLE A'!O92/'Discontinued - TABLE B'!L$120</f>
        <v>141.21899999251539</v>
      </c>
      <c r="M95" s="92">
        <f>'Discontinued - OLDTABLE A'!L92/'Discontinued - TABLE B'!M$120</f>
        <v>140.77699999245436</v>
      </c>
      <c r="N95" s="34">
        <f>'Discontinued - OLDTABLE A'!H92/'Discontinued - TABLE B'!N$120</f>
        <v>142.82119999444424</v>
      </c>
      <c r="O95" s="85">
        <f>'Discontinued - OLDTABLE A'!H92/'Discontinued - TABLE B'!O$120</f>
        <v>142.82119999444424</v>
      </c>
      <c r="P95" s="92">
        <f>'Discontinued - OLDTABLE A'!P92/'Discontinued - TABLE B'!P$120</f>
        <v>138.55700000055424</v>
      </c>
      <c r="Q95" s="40">
        <f>'Discontinued - OLDTABLE A'!Q92/'Discontinued - TABLE B'!Q$120</f>
        <v>138.69239999464648</v>
      </c>
      <c r="R95" s="34"/>
      <c r="S95" s="32">
        <f>S$120*'Discontinued - OLDTABLE A'!S92</f>
        <v>245.37599999999998</v>
      </c>
      <c r="T95" s="91">
        <f>T$120*'Discontinued - OLDTABLE A'!T92</f>
        <v>323.68</v>
      </c>
      <c r="U95" s="127">
        <f>U$120*'Discontinued - OLDTABLE A'!U92</f>
        <v>370.62200000000001</v>
      </c>
      <c r="V95" s="88">
        <f>V$120*'Discontinued - OLDTABLE A'!V92</f>
        <v>471.32639999999998</v>
      </c>
      <c r="W95" s="34">
        <f>W$120*'Discontinued - OLDTABLE A'!W92</f>
        <v>217.05330000000001</v>
      </c>
      <c r="X95" s="91">
        <f>X$120*'Discontinued - OLDTABLE A'!X92</f>
        <v>255.3948</v>
      </c>
      <c r="Y95" s="127">
        <f>Y$120*'Discontinued - OLDTABLE A'!Y92</f>
        <v>220.31519999999998</v>
      </c>
      <c r="Z95" s="32">
        <f>Z$120*'Discontinued - OLDTABLE A'!Z92</f>
        <v>501.16800000000006</v>
      </c>
      <c r="AA95" s="85">
        <f>AA$120*'Discontinued - OLDTABLE A'!AA92</f>
        <v>502.07700000000006</v>
      </c>
    </row>
    <row r="96" spans="1:27" x14ac:dyDescent="0.25">
      <c r="A96" s="124">
        <v>8</v>
      </c>
      <c r="B96" s="123">
        <v>2014</v>
      </c>
      <c r="C96" s="92">
        <f>'Discontinued - OLDTABLE A'!D93/'Discontinued - TABLE B'!C$120</f>
        <v>139.56149999494787</v>
      </c>
      <c r="D96" s="32">
        <f>'Discontinued - OLDTABLE A'!E93/'Discontinued - TABLE B'!D$120</f>
        <v>140.93760000225501</v>
      </c>
      <c r="E96" s="85">
        <f>'Discontinued - OLDTABLE A'!F93/'Discontinued - TABLE B'!E$120</f>
        <v>141.49350000319774</v>
      </c>
      <c r="F96" s="92">
        <f>'Discontinued - OLDTABLE A'!G93/'Discontinued - TABLE B'!F$120</f>
        <v>143.7060000091972</v>
      </c>
      <c r="G96" s="32">
        <f>'Discontinued - OLDTABLE A'!J93/'Discontinued - TABLE B'!G$120</f>
        <v>141.55760000690802</v>
      </c>
      <c r="H96" s="108">
        <f>'Discontinued - OLDTABLE A'!I93/'Discontinued - TABLE B'!H$120</f>
        <v>138.63900000171913</v>
      </c>
      <c r="I96" s="85"/>
      <c r="J96" s="32">
        <f>'Discontinued - OLDTABLE A'!M93/'Discontinued - TABLE B'!J$120</f>
        <v>142.52320000416168</v>
      </c>
      <c r="K96" s="88">
        <f>'Discontinued - OLDTABLE A'!N93/'Discontinued - TABLE B'!K$120</f>
        <v>138.08400000005523</v>
      </c>
      <c r="L96" s="34">
        <f>'Discontinued - OLDTABLE A'!O93/'Discontinued - TABLE B'!L$120</f>
        <v>141.73019999248831</v>
      </c>
      <c r="M96" s="92">
        <f>'Discontinued - OLDTABLE A'!L93/'Discontinued - TABLE B'!M$120</f>
        <v>141.41399999242023</v>
      </c>
      <c r="N96" s="34">
        <f>'Discontinued - OLDTABLE A'!H93/'Discontinued - TABLE B'!N$120</f>
        <v>143.33679999442421</v>
      </c>
      <c r="O96" s="85">
        <f>'Discontinued - OLDTABLE A'!H93/'Discontinued - TABLE B'!O$120</f>
        <v>143.33679999442421</v>
      </c>
      <c r="P96" s="92">
        <f>'Discontinued - OLDTABLE A'!P93/'Discontinued - TABLE B'!P$120</f>
        <v>139.31900000055728</v>
      </c>
      <c r="Q96" s="40">
        <f>'Discontinued - OLDTABLE A'!Q93/'Discontinued - TABLE B'!Q$120</f>
        <v>139.19399999462712</v>
      </c>
      <c r="R96" s="34"/>
      <c r="S96" s="32">
        <f>S$120*'Discontinued - OLDTABLE A'!S93</f>
        <v>245.37599999999998</v>
      </c>
      <c r="T96" s="91">
        <f>T$120*'Discontinued - OLDTABLE A'!T93</f>
        <v>323.68</v>
      </c>
      <c r="U96" s="127">
        <f>U$120*'Discontinued - OLDTABLE A'!U93</f>
        <v>367.08000000000004</v>
      </c>
      <c r="V96" s="88">
        <f>V$120*'Discontinued - OLDTABLE A'!V93</f>
        <v>465.51780000000002</v>
      </c>
      <c r="W96" s="34">
        <f>W$120*'Discontinued - OLDTABLE A'!W93</f>
        <v>217.43510000000001</v>
      </c>
      <c r="X96" s="91">
        <f>X$120*'Discontinued - OLDTABLE A'!X93</f>
        <v>257.37120000000004</v>
      </c>
      <c r="Y96" s="127">
        <f>Y$120*'Discontinued - OLDTABLE A'!Y93</f>
        <v>220.51439999999999</v>
      </c>
      <c r="Z96" s="32">
        <f>Z$120*'Discontinued - OLDTABLE A'!Z93</f>
        <v>498.62400000000002</v>
      </c>
      <c r="AA96" s="85">
        <f>AA$120*'Discontinued - OLDTABLE A'!AA93</f>
        <v>499.97450000000003</v>
      </c>
    </row>
    <row r="97" spans="1:27" x14ac:dyDescent="0.25">
      <c r="A97" s="124">
        <v>9</v>
      </c>
      <c r="B97" s="123">
        <v>2014</v>
      </c>
      <c r="C97" s="92">
        <f>'Discontinued - OLDTABLE A'!D94/'Discontinued - TABLE B'!C$120</f>
        <v>140.06669999492959</v>
      </c>
      <c r="D97" s="32">
        <f>'Discontinued - OLDTABLE A'!E94/'Discontinued - TABLE B'!D$120</f>
        <v>140.68320000225094</v>
      </c>
      <c r="E97" s="85">
        <f>'Discontinued - OLDTABLE A'!F94/'Discontinued - TABLE B'!E$120</f>
        <v>141.36660000319489</v>
      </c>
      <c r="F97" s="92">
        <f>'Discontinued - OLDTABLE A'!G94/'Discontinued - TABLE B'!F$120</f>
        <v>143.57700000918891</v>
      </c>
      <c r="G97" s="32">
        <f>'Discontinued - OLDTABLE A'!J94/'Discontinued - TABLE B'!G$120</f>
        <v>141.30300000689559</v>
      </c>
      <c r="H97" s="108">
        <f>'Discontinued - OLDTABLE A'!I94/'Discontinued - TABLE B'!H$120</f>
        <v>138.51410000171759</v>
      </c>
      <c r="I97" s="85"/>
      <c r="J97" s="32">
        <f>'Discontinued - OLDTABLE A'!M94/'Discontinued - TABLE B'!J$120</f>
        <v>142.39640000415798</v>
      </c>
      <c r="K97" s="88">
        <f>'Discontinued - OLDTABLE A'!N94/'Discontinued - TABLE B'!K$120</f>
        <v>138.08400000005523</v>
      </c>
      <c r="L97" s="34">
        <f>'Discontinued - OLDTABLE A'!O94/'Discontinued - TABLE B'!L$120</f>
        <v>141.47459999250185</v>
      </c>
      <c r="M97" s="92">
        <f>'Discontinued - OLDTABLE A'!L94/'Discontinued - TABLE B'!M$120</f>
        <v>141.15919999243388</v>
      </c>
      <c r="N97" s="34">
        <f>'Discontinued - OLDTABLE A'!H94/'Discontinued - TABLE B'!N$120</f>
        <v>143.33679999442421</v>
      </c>
      <c r="O97" s="85">
        <f>'Discontinued - OLDTABLE A'!H94/'Discontinued - TABLE B'!O$120</f>
        <v>143.33679999442421</v>
      </c>
      <c r="P97" s="92">
        <f>'Discontinued - OLDTABLE A'!P94/'Discontinued - TABLE B'!P$120</f>
        <v>139.31900000055728</v>
      </c>
      <c r="Q97" s="40">
        <f>'Discontinued - OLDTABLE A'!Q94/'Discontinued - TABLE B'!Q$120</f>
        <v>139.19399999462712</v>
      </c>
      <c r="R97" s="34"/>
      <c r="S97" s="32">
        <f>S$120*'Discontinued - OLDTABLE A'!S94</f>
        <v>246.96639999999999</v>
      </c>
      <c r="T97" s="91">
        <f>T$120*'Discontinued - OLDTABLE A'!T94</f>
        <v>327.14800000000002</v>
      </c>
      <c r="U97" s="127">
        <f>U$120*'Discontinued - OLDTABLE A'!U94</f>
        <v>367.40199999999999</v>
      </c>
      <c r="V97" s="88">
        <f>V$120*'Discontinued - OLDTABLE A'!V94</f>
        <v>458.87939999999998</v>
      </c>
      <c r="W97" s="34">
        <f>W$120*'Discontinued - OLDTABLE A'!W94</f>
        <v>217.43510000000001</v>
      </c>
      <c r="X97" s="91">
        <f>X$120*'Discontinued - OLDTABLE A'!X94</f>
        <v>257.37120000000004</v>
      </c>
      <c r="Y97" s="127">
        <f>Y$120*'Discontinued - OLDTABLE A'!Y94</f>
        <v>220.31519999999998</v>
      </c>
      <c r="Z97" s="32">
        <f>Z$120*'Discontinued - OLDTABLE A'!Z94</f>
        <v>488.87200000000001</v>
      </c>
      <c r="AA97" s="85">
        <f>AA$120*'Discontinued - OLDTABLE A'!AA94</f>
        <v>489.46200000000005</v>
      </c>
    </row>
    <row r="98" spans="1:27" x14ac:dyDescent="0.25">
      <c r="A98" s="124">
        <v>10</v>
      </c>
      <c r="B98" s="123">
        <v>2014</v>
      </c>
      <c r="C98" s="92">
        <f>'Discontinued - OLDTABLE A'!D95/'Discontinued - TABLE B'!C$120</f>
        <v>140.57189999491129</v>
      </c>
      <c r="D98" s="32">
        <f>'Discontinued - OLDTABLE A'!E95/'Discontinued - TABLE B'!D$120</f>
        <v>140.93760000225501</v>
      </c>
      <c r="E98" s="85">
        <f>'Discontinued - OLDTABLE A'!F95/'Discontinued - TABLE B'!E$120</f>
        <v>141.62040000320061</v>
      </c>
      <c r="F98" s="92">
        <f>'Discontinued - OLDTABLE A'!G95/'Discontinued - TABLE B'!F$120</f>
        <v>143.7060000091972</v>
      </c>
      <c r="G98" s="32">
        <f>'Discontinued - OLDTABLE A'!J95/'Discontinued - TABLE B'!G$120</f>
        <v>141.68490000691423</v>
      </c>
      <c r="H98" s="108">
        <f>'Discontinued - OLDTABLE A'!I95/'Discontinued - TABLE B'!H$120</f>
        <v>138.63900000171913</v>
      </c>
      <c r="I98" s="85"/>
      <c r="J98" s="32">
        <f>'Discontinued - OLDTABLE A'!M95/'Discontinued - TABLE B'!J$120</f>
        <v>142.65000000416538</v>
      </c>
      <c r="K98" s="88">
        <f>'Discontinued - OLDTABLE A'!N95/'Discontinued - TABLE B'!K$120</f>
        <v>138.33280000005533</v>
      </c>
      <c r="L98" s="34">
        <f>'Discontinued - OLDTABLE A'!O95/'Discontinued - TABLE B'!L$120</f>
        <v>141.60239999249507</v>
      </c>
      <c r="M98" s="92">
        <f>'Discontinued - OLDTABLE A'!L95/'Discontinued - TABLE B'!M$120</f>
        <v>141.15919999243388</v>
      </c>
      <c r="N98" s="34">
        <f>'Discontinued - OLDTABLE A'!H95/'Discontinued - TABLE B'!N$120</f>
        <v>143.72349999440917</v>
      </c>
      <c r="O98" s="85">
        <f>'Discontinued - OLDTABLE A'!H95/'Discontinued - TABLE B'!O$120</f>
        <v>143.72349999440917</v>
      </c>
      <c r="P98" s="92">
        <f>'Discontinued - OLDTABLE A'!P95/'Discontinued - TABLE B'!P$120</f>
        <v>139.70000000055882</v>
      </c>
      <c r="Q98" s="40">
        <f>'Discontinued - OLDTABLE A'!Q95/'Discontinued - TABLE B'!Q$120</f>
        <v>139.19399999462712</v>
      </c>
      <c r="R98" s="34"/>
      <c r="S98" s="32">
        <f>S$120*'Discontinued - OLDTABLE A'!S95</f>
        <v>247.19359999999998</v>
      </c>
      <c r="T98" s="91">
        <f>T$120*'Discontinued - OLDTABLE A'!T95</f>
        <v>327.14800000000002</v>
      </c>
      <c r="U98" s="127">
        <f>U$120*'Discontinued - OLDTABLE A'!U95</f>
        <v>368.36800000000005</v>
      </c>
      <c r="V98" s="88">
        <f>V$120*'Discontinued - OLDTABLE A'!V95</f>
        <v>432.32580000000002</v>
      </c>
      <c r="W98" s="34">
        <f>W$120*'Discontinued - OLDTABLE A'!W95</f>
        <v>216.28970000000001</v>
      </c>
      <c r="X98" s="91">
        <f>X$120*'Discontinued - OLDTABLE A'!X95</f>
        <v>257.15160000000003</v>
      </c>
      <c r="Y98" s="127">
        <f>Y$120*'Discontinued - OLDTABLE A'!Y95</f>
        <v>217.9248</v>
      </c>
      <c r="Z98" s="32">
        <f>Z$120*'Discontinued - OLDTABLE A'!Z95</f>
        <v>484.20800000000003</v>
      </c>
      <c r="AA98" s="85">
        <f>AA$120*'Discontinued - OLDTABLE A'!AA95</f>
        <v>484.416</v>
      </c>
    </row>
    <row r="99" spans="1:27" x14ac:dyDescent="0.25">
      <c r="A99" s="124">
        <v>11</v>
      </c>
      <c r="B99" s="123">
        <v>2014</v>
      </c>
      <c r="C99" s="92">
        <f>'Discontinued - OLDTABLE A'!D96/'Discontinued - TABLE B'!C$120</f>
        <v>140.69819999490673</v>
      </c>
      <c r="D99" s="32">
        <f>'Discontinued - OLDTABLE A'!E96/'Discontinued - TABLE B'!D$120</f>
        <v>141.19200000225908</v>
      </c>
      <c r="E99" s="85">
        <f>'Discontinued - OLDTABLE A'!F96/'Discontinued - TABLE B'!E$120</f>
        <v>141.62040000320061</v>
      </c>
      <c r="F99" s="92">
        <f>'Discontinued - OLDTABLE A'!G96/'Discontinued - TABLE B'!F$120</f>
        <v>143.57700000918891</v>
      </c>
      <c r="G99" s="32">
        <f>'Discontinued - OLDTABLE A'!J96/'Discontinued - TABLE B'!G$120</f>
        <v>141.68490000691423</v>
      </c>
      <c r="H99" s="108">
        <f>'Discontinued - OLDTABLE A'!I96/'Discontinued - TABLE B'!H$120</f>
        <v>138.38920000171603</v>
      </c>
      <c r="I99" s="85"/>
      <c r="J99" s="32">
        <f>'Discontinued - OLDTABLE A'!M96/'Discontinued - TABLE B'!J$120</f>
        <v>142.52320000416168</v>
      </c>
      <c r="K99" s="88">
        <f>'Discontinued - OLDTABLE A'!N96/'Discontinued - TABLE B'!K$120</f>
        <v>138.20840000005529</v>
      </c>
      <c r="L99" s="34">
        <f>'Discontinued - OLDTABLE A'!O96/'Discontinued - TABLE B'!L$120</f>
        <v>141.85799999248152</v>
      </c>
      <c r="M99" s="92">
        <f>'Discontinued - OLDTABLE A'!L96/'Discontinued - TABLE B'!M$120</f>
        <v>141.28659999242706</v>
      </c>
      <c r="N99" s="34">
        <f>'Discontinued - OLDTABLE A'!H96/'Discontinued - TABLE B'!N$120</f>
        <v>143.85239999440415</v>
      </c>
      <c r="O99" s="85">
        <f>'Discontinued - OLDTABLE A'!H96/'Discontinued - TABLE B'!O$120</f>
        <v>143.85239999440415</v>
      </c>
      <c r="P99" s="92">
        <f>'Discontinued - OLDTABLE A'!P96/'Discontinued - TABLE B'!P$120</f>
        <v>139.82700000055931</v>
      </c>
      <c r="Q99" s="40">
        <f>'Discontinued - OLDTABLE A'!Q96/'Discontinued - TABLE B'!Q$120</f>
        <v>139.06859999463197</v>
      </c>
      <c r="R99" s="34"/>
      <c r="S99" s="32">
        <f>S$120*'Discontinued - OLDTABLE A'!S96</f>
        <v>246.51199999999997</v>
      </c>
      <c r="T99" s="91">
        <f>T$120*'Discontinued - OLDTABLE A'!T96</f>
        <v>329.46000000000004</v>
      </c>
      <c r="U99" s="127">
        <f>U$120*'Discontinued - OLDTABLE A'!U96</f>
        <v>366.11400000000003</v>
      </c>
      <c r="V99" s="88">
        <f>V$120*'Discontinued - OLDTABLE A'!V96</f>
        <v>406.18710000000004</v>
      </c>
      <c r="W99" s="34">
        <f>W$120*'Discontinued - OLDTABLE A'!W96</f>
        <v>216.86239999999998</v>
      </c>
      <c r="X99" s="91">
        <f>X$120*'Discontinued - OLDTABLE A'!X96</f>
        <v>257.15160000000003</v>
      </c>
      <c r="Y99" s="127">
        <f>Y$120*'Discontinued - OLDTABLE A'!Y96</f>
        <v>217.9248</v>
      </c>
      <c r="Z99" s="32">
        <f>Z$120*'Discontinued - OLDTABLE A'!Z96</f>
        <v>451.13600000000002</v>
      </c>
      <c r="AA99" s="85">
        <f>AA$120*'Discontinued - OLDTABLE A'!AA96</f>
        <v>460.02700000000004</v>
      </c>
    </row>
    <row r="100" spans="1:27" x14ac:dyDescent="0.25">
      <c r="A100" s="124">
        <v>12</v>
      </c>
      <c r="B100" s="123">
        <v>2014</v>
      </c>
      <c r="C100" s="92">
        <f>'Discontinued - OLDTABLE A'!D97/'Discontinued - TABLE B'!C$120</f>
        <v>140.57189999491129</v>
      </c>
      <c r="D100" s="32">
        <f>'Discontinued - OLDTABLE A'!E97/'Discontinued - TABLE B'!D$120</f>
        <v>141.06480000225704</v>
      </c>
      <c r="E100" s="85">
        <f>'Discontinued - OLDTABLE A'!F97/'Discontinued - TABLE B'!E$120</f>
        <v>141.23970000319201</v>
      </c>
      <c r="F100" s="92">
        <f>'Discontinued - OLDTABLE A'!G97/'Discontinued - TABLE B'!F$120</f>
        <v>143.19000000916415</v>
      </c>
      <c r="G100" s="32">
        <f>'Discontinued - OLDTABLE A'!J97/'Discontinued - TABLE B'!G$120</f>
        <v>141.4303000069018</v>
      </c>
      <c r="H100" s="108">
        <f>'Discontinued - OLDTABLE A'!I97/'Discontinued - TABLE B'!H$120</f>
        <v>138.01450000171138</v>
      </c>
      <c r="I100" s="85"/>
      <c r="J100" s="32">
        <f>'Discontinued - OLDTABLE A'!M97/'Discontinued - TABLE B'!J$120</f>
        <v>142.39640000415798</v>
      </c>
      <c r="K100" s="88">
        <f>'Discontinued - OLDTABLE A'!N97/'Discontinued - TABLE B'!K$120</f>
        <v>137.83520000005512</v>
      </c>
      <c r="L100" s="34">
        <f>'Discontinued - OLDTABLE A'!O97/'Discontinued - TABLE B'!L$120</f>
        <v>141.34679999250861</v>
      </c>
      <c r="M100" s="92">
        <f>'Discontinued - OLDTABLE A'!L97/'Discontinued - TABLE B'!M$120</f>
        <v>140.77699999245436</v>
      </c>
      <c r="N100" s="34">
        <f>'Discontinued - OLDTABLE A'!H97/'Discontinued - TABLE B'!N$120</f>
        <v>143.4656999944192</v>
      </c>
      <c r="O100" s="85">
        <f>'Discontinued - OLDTABLE A'!H97/'Discontinued - TABLE B'!O$120</f>
        <v>143.4656999944192</v>
      </c>
      <c r="P100" s="92">
        <f>'Discontinued - OLDTABLE A'!P97/'Discontinued - TABLE B'!P$120</f>
        <v>139.31900000055728</v>
      </c>
      <c r="Q100" s="40">
        <f>'Discontinued - OLDTABLE A'!Q97/'Discontinued - TABLE B'!Q$120</f>
        <v>138.69239999464648</v>
      </c>
      <c r="R100" s="34"/>
      <c r="S100" s="32">
        <f>S$120*'Discontinued - OLDTABLE A'!S97</f>
        <v>245.60319999999996</v>
      </c>
      <c r="T100" s="91">
        <f>T$120*'Discontinued - OLDTABLE A'!T97</f>
        <v>329.46000000000004</v>
      </c>
      <c r="U100" s="127">
        <f>U$120*'Discontinued - OLDTABLE A'!U97</f>
        <v>355.81</v>
      </c>
      <c r="V100" s="88">
        <f>V$120*'Discontinued - OLDTABLE A'!V97</f>
        <v>370.50569999999999</v>
      </c>
      <c r="W100" s="34">
        <f>W$120*'Discontinued - OLDTABLE A'!W97</f>
        <v>216.86239999999998</v>
      </c>
      <c r="X100" s="91">
        <f>X$120*'Discontinued - OLDTABLE A'!X97</f>
        <v>257.15160000000003</v>
      </c>
      <c r="Y100" s="127">
        <f>Y$120*'Discontinued - OLDTABLE A'!Y97</f>
        <v>217.9248</v>
      </c>
      <c r="Z100" s="32">
        <f>Z$120*'Discontinued - OLDTABLE A'!Z97</f>
        <v>429.512</v>
      </c>
      <c r="AA100" s="85">
        <f>AA$120*'Discontinued - OLDTABLE A'!AA97</f>
        <v>439.00200000000001</v>
      </c>
    </row>
    <row r="101" spans="1:27" x14ac:dyDescent="0.25">
      <c r="A101" s="124">
        <v>1</v>
      </c>
      <c r="B101" s="123">
        <v>2015</v>
      </c>
      <c r="C101" s="92">
        <f>'Discontinued - OLDTABLE A'!D98/'Discontinued - TABLE B'!C$120</f>
        <v>140.44559999491585</v>
      </c>
      <c r="D101" s="32">
        <f>'Discontinued - OLDTABLE A'!E98/'Discontinued - TABLE B'!D$120</f>
        <v>140.93760000225501</v>
      </c>
      <c r="E101" s="85">
        <f>'Discontinued - OLDTABLE A'!F98/'Discontinued - TABLE B'!E$120</f>
        <v>140.98590000318626</v>
      </c>
      <c r="F101" s="92">
        <f>'Discontinued - OLDTABLE A'!G98/'Discontinued - TABLE B'!F$120</f>
        <v>143.19000000916415</v>
      </c>
      <c r="G101" s="32">
        <f>'Discontinued - OLDTABLE A'!J98/'Discontinued - TABLE B'!G$120</f>
        <v>141.1757000068894</v>
      </c>
      <c r="H101" s="108">
        <f>'Discontinued - OLDTABLE A'!I98/'Discontinued - TABLE B'!H$120</f>
        <v>137.39000000170364</v>
      </c>
      <c r="I101" s="85"/>
      <c r="J101" s="32">
        <f>'Discontinued - OLDTABLE A'!M98/'Discontinued - TABLE B'!J$120</f>
        <v>142.01600000414686</v>
      </c>
      <c r="K101" s="88">
        <f>'Discontinued - OLDTABLE A'!N98/'Discontinued - TABLE B'!K$120</f>
        <v>137.71080000005509</v>
      </c>
      <c r="L101" s="34">
        <f>'Discontinued - OLDTABLE A'!O98/'Discontinued - TABLE B'!L$120</f>
        <v>140.83559999253572</v>
      </c>
      <c r="M101" s="92">
        <f>'Discontinued - OLDTABLE A'!L98/'Discontinued - TABLE B'!M$120</f>
        <v>140.90439999244754</v>
      </c>
      <c r="N101" s="34">
        <f>'Discontinued - OLDTABLE A'!H98/'Discontinued - TABLE B'!N$120</f>
        <v>143.72349999440917</v>
      </c>
      <c r="O101" s="85">
        <f>'Discontinued - OLDTABLE A'!H98/'Discontinued - TABLE B'!O$120</f>
        <v>143.72349999440917</v>
      </c>
      <c r="P101" s="92">
        <f>'Discontinued - OLDTABLE A'!P98/'Discontinued - TABLE B'!P$120</f>
        <v>139.5730000005583</v>
      </c>
      <c r="Q101" s="40">
        <f>'Discontinued - OLDTABLE A'!Q98/'Discontinued - TABLE B'!Q$120</f>
        <v>138.69239999464648</v>
      </c>
      <c r="R101" s="34"/>
      <c r="S101" s="32">
        <f>S$120*'Discontinued - OLDTABLE A'!S98</f>
        <v>241.05919999999998</v>
      </c>
      <c r="T101" s="91">
        <f>T$120*'Discontinued - OLDTABLE A'!T98</f>
        <v>321.65699999999998</v>
      </c>
      <c r="U101" s="127">
        <f>U$120*'Discontinued - OLDTABLE A'!U98</f>
        <v>345.18400000000003</v>
      </c>
      <c r="V101" s="88">
        <f>V$120*'Discontinued - OLDTABLE A'!V98</f>
        <v>325.69650000000001</v>
      </c>
      <c r="W101" s="34">
        <f>W$120*'Discontinued - OLDTABLE A'!W98</f>
        <v>219.1532</v>
      </c>
      <c r="X101" s="91">
        <f>X$120*'Discontinued - OLDTABLE A'!X98</f>
        <v>259.12800000000004</v>
      </c>
      <c r="Y101" s="127">
        <f>Y$120*'Discontinued - OLDTABLE A'!Y98</f>
        <v>219.3192</v>
      </c>
      <c r="Z101" s="32">
        <f>Z$120*'Discontinued - OLDTABLE A'!Z98</f>
        <v>401.10399999999998</v>
      </c>
      <c r="AA101" s="85">
        <f>AA$120*'Discontinued - OLDTABLE A'!AA98</f>
        <v>409.98750000000001</v>
      </c>
    </row>
    <row r="102" spans="1:27" x14ac:dyDescent="0.25">
      <c r="A102" s="124">
        <v>2</v>
      </c>
      <c r="B102" s="123">
        <v>2015</v>
      </c>
      <c r="C102" s="92">
        <f>'Discontinued - OLDTABLE A'!D99/'Discontinued - TABLE B'!C$120</f>
        <v>140.95079999489755</v>
      </c>
      <c r="D102" s="32">
        <f>'Discontinued - OLDTABLE A'!E99/'Discontinued - TABLE B'!D$120</f>
        <v>141.82800000226925</v>
      </c>
      <c r="E102" s="85">
        <f>'Discontinued - OLDTABLE A'!F99/'Discontinued - TABLE B'!E$120</f>
        <v>142.25490000321494</v>
      </c>
      <c r="F102" s="92">
        <f>'Discontinued - OLDTABLE A'!G99/'Discontinued - TABLE B'!F$120</f>
        <v>143.83500000920543</v>
      </c>
      <c r="G102" s="32">
        <f>'Discontinued - OLDTABLE A'!J99/'Discontinued - TABLE B'!G$120</f>
        <v>142.70330000696393</v>
      </c>
      <c r="H102" s="108">
        <f>'Discontinued - OLDTABLE A'!I99/'Discontinued - TABLE B'!H$120</f>
        <v>138.01450000171138</v>
      </c>
      <c r="I102" s="85"/>
      <c r="J102" s="32">
        <f>'Discontinued - OLDTABLE A'!M99/'Discontinued - TABLE B'!J$120</f>
        <v>142.90360000417277</v>
      </c>
      <c r="K102" s="88">
        <f>'Discontinued - OLDTABLE A'!N99/'Discontinued - TABLE B'!K$120</f>
        <v>139.2036000000557</v>
      </c>
      <c r="L102" s="34">
        <f>'Discontinued - OLDTABLE A'!O99/'Discontinued - TABLE B'!L$120</f>
        <v>141.98579999247474</v>
      </c>
      <c r="M102" s="92">
        <f>'Discontinued - OLDTABLE A'!L99/'Discontinued - TABLE B'!M$120</f>
        <v>141.68153999240587</v>
      </c>
      <c r="N102" s="34">
        <f>'Discontinued - OLDTABLE A'!H99/'Discontinued - TABLE B'!N$120</f>
        <v>144.62579999437406</v>
      </c>
      <c r="O102" s="85">
        <f>'Discontinued - OLDTABLE A'!H99/'Discontinued - TABLE B'!O$120</f>
        <v>144.62579999437406</v>
      </c>
      <c r="P102" s="92">
        <f>'Discontinued - OLDTABLE A'!P99/'Discontinued - TABLE B'!P$120</f>
        <v>140.46200000056186</v>
      </c>
      <c r="Q102" s="40">
        <f>'Discontinued - OLDTABLE A'!Q99/'Discontinued - TABLE B'!Q$120</f>
        <v>139.44479999461743</v>
      </c>
      <c r="R102" s="34"/>
      <c r="S102" s="32">
        <f>S$120*'Discontinued - OLDTABLE A'!S99</f>
        <v>239.69599999999997</v>
      </c>
      <c r="T102" s="91">
        <f>T$120*'Discontinued - OLDTABLE A'!T99</f>
        <v>323.39100000000002</v>
      </c>
      <c r="U102" s="127">
        <f>U$120*'Discontinued - OLDTABLE A'!U99</f>
        <v>329.72800000000007</v>
      </c>
      <c r="V102" s="88">
        <f>V$120*'Discontinued - OLDTABLE A'!V99</f>
        <v>301.2174</v>
      </c>
      <c r="W102" s="34">
        <f>W$120*'Discontinued - OLDTABLE A'!W99</f>
        <v>220.29860000000002</v>
      </c>
      <c r="X102" s="91">
        <f>X$120*'Discontinued - OLDTABLE A'!X99</f>
        <v>259.56720000000001</v>
      </c>
      <c r="Y102" s="127">
        <f>Y$120*'Discontinued - OLDTABLE A'!Y99</f>
        <v>220.11599999999999</v>
      </c>
      <c r="Z102" s="32">
        <f>Z$120*'Discontinued - OLDTABLE A'!Z99</f>
        <v>361.24800000000005</v>
      </c>
      <c r="AA102" s="85">
        <f>AA$120*'Discontinued - OLDTABLE A'!AA99</f>
        <v>367.9375</v>
      </c>
    </row>
    <row r="103" spans="1:27" x14ac:dyDescent="0.25">
      <c r="A103" s="124">
        <v>3</v>
      </c>
      <c r="B103" s="123">
        <v>2015</v>
      </c>
      <c r="C103" s="92">
        <f>'Discontinued - OLDTABLE A'!D100/'Discontinued - TABLE B'!C$120</f>
        <v>143.09789999481984</v>
      </c>
      <c r="D103" s="32">
        <f>'Discontinued - OLDTABLE A'!E100/'Discontinued - TABLE B'!D$120</f>
        <v>143.35440000229369</v>
      </c>
      <c r="E103" s="85">
        <f>'Discontinued - OLDTABLE A'!F100/'Discontinued - TABLE B'!E$120</f>
        <v>144.0315000032551</v>
      </c>
      <c r="F103" s="92">
        <f>'Discontinued - OLDTABLE A'!G100/'Discontinued - TABLE B'!F$120</f>
        <v>145.64100000932103</v>
      </c>
      <c r="G103" s="32">
        <f>'Discontinued - OLDTABLE A'!J100/'Discontinued - TABLE B'!G$120</f>
        <v>144.48550000705089</v>
      </c>
      <c r="H103" s="108">
        <f>'Discontinued - OLDTABLE A'!I100/'Discontinued - TABLE B'!H$120</f>
        <v>140.1378000017377</v>
      </c>
      <c r="I103" s="85"/>
      <c r="J103" s="32">
        <f>'Discontinued - OLDTABLE A'!M100/'Discontinued - TABLE B'!J$120</f>
        <v>145.18600000423942</v>
      </c>
      <c r="K103" s="88">
        <f>'Discontinued - OLDTABLE A'!N100/'Discontinued - TABLE B'!K$120</f>
        <v>141.19400000005649</v>
      </c>
      <c r="L103" s="34">
        <f>'Discontinued - OLDTABLE A'!O100/'Discontinued - TABLE B'!L$120</f>
        <v>143.90279999237316</v>
      </c>
      <c r="M103" s="92">
        <f>'Discontinued - OLDTABLE A'!L100/'Discontinued - TABLE B'!M$120</f>
        <v>143.3249999923178</v>
      </c>
      <c r="N103" s="34">
        <f>'Discontinued - OLDTABLE A'!H100/'Discontinued - TABLE B'!N$120</f>
        <v>146.81709999428884</v>
      </c>
      <c r="O103" s="85">
        <f>'Discontinued - OLDTABLE A'!H100/'Discontinued - TABLE B'!O$120</f>
        <v>146.81709999428884</v>
      </c>
      <c r="P103" s="92">
        <f>'Discontinued - OLDTABLE A'!P100/'Discontinued - TABLE B'!P$120</f>
        <v>141.85900000056745</v>
      </c>
      <c r="Q103" s="40">
        <f>'Discontinued - OLDTABLE A'!Q100/'Discontinued - TABLE B'!Q$120</f>
        <v>141.32579999454484</v>
      </c>
      <c r="R103" s="34"/>
      <c r="S103" s="32">
        <f>S$120*'Discontinued - OLDTABLE A'!S100</f>
        <v>239.01439999999999</v>
      </c>
      <c r="T103" s="91">
        <f>T$120*'Discontinued - OLDTABLE A'!T100</f>
        <v>321.65699999999998</v>
      </c>
      <c r="U103" s="127">
        <f>U$120*'Discontinued - OLDTABLE A'!U100</f>
        <v>335.846</v>
      </c>
      <c r="V103" s="88">
        <f>V$120*'Discontinued - OLDTABLE A'!V100</f>
        <v>331.50510000000003</v>
      </c>
      <c r="W103" s="34">
        <f>W$120*'Discontinued - OLDTABLE A'!W100</f>
        <v>220.48949999999999</v>
      </c>
      <c r="X103" s="91">
        <f>X$120*'Discontinued - OLDTABLE A'!X100</f>
        <v>259.56720000000001</v>
      </c>
      <c r="Y103" s="127">
        <f>Y$120*'Discontinued - OLDTABLE A'!Y100</f>
        <v>220.11599999999999</v>
      </c>
      <c r="Z103" s="32">
        <f>Z$120*'Discontinued - OLDTABLE A'!Z100</f>
        <v>390.08000000000004</v>
      </c>
      <c r="AA103" s="85">
        <f>AA$120*'Discontinued - OLDTABLE A'!AA100</f>
        <v>398.21350000000001</v>
      </c>
    </row>
    <row r="104" spans="1:27" x14ac:dyDescent="0.25">
      <c r="A104" s="124">
        <v>4</v>
      </c>
      <c r="B104" s="123">
        <v>2015</v>
      </c>
      <c r="C104" s="92">
        <f>'Discontinued - OLDTABLE A'!D101/'Discontinued - TABLE B'!C$120</f>
        <v>144.2345999947787</v>
      </c>
      <c r="D104" s="32">
        <f>'Discontinued - OLDTABLE A'!E101/'Discontinued - TABLE B'!D$120</f>
        <v>144.62640000231403</v>
      </c>
      <c r="E104" s="85">
        <f>'Discontinued - OLDTABLE A'!F101/'Discontinued - TABLE B'!E$120</f>
        <v>145.30050000328379</v>
      </c>
      <c r="F104" s="92">
        <f>'Discontinued - OLDTABLE A'!G101/'Discontinued - TABLE B'!F$120</f>
        <v>147.06000000941182</v>
      </c>
      <c r="G104" s="32">
        <f>'Discontinued - OLDTABLE A'!J101/'Discontinued - TABLE B'!G$120</f>
        <v>145.63120000710683</v>
      </c>
      <c r="H104" s="108">
        <f>'Discontinued - OLDTABLE A'!I101/'Discontinued - TABLE B'!H$120</f>
        <v>141.63660000175631</v>
      </c>
      <c r="I104" s="85"/>
      <c r="J104" s="32">
        <f>'Discontinued - OLDTABLE A'!M101/'Discontinued - TABLE B'!J$120</f>
        <v>146.58080000428015</v>
      </c>
      <c r="K104" s="88">
        <f>'Discontinued - OLDTABLE A'!N101/'Discontinued - TABLE B'!K$120</f>
        <v>142.31360000005694</v>
      </c>
      <c r="L104" s="34">
        <f>'Discontinued - OLDTABLE A'!O101/'Discontinued - TABLE B'!L$120</f>
        <v>145.43639999229188</v>
      </c>
      <c r="M104" s="92">
        <f>'Discontinued - OLDTABLE A'!L101/'Discontinued - TABLE B'!M$120</f>
        <v>144.98119999222902</v>
      </c>
      <c r="N104" s="34">
        <f>'Discontinued - OLDTABLE A'!H101/'Discontinued - TABLE B'!N$120</f>
        <v>148.23499999423368</v>
      </c>
      <c r="O104" s="85">
        <f>'Discontinued - OLDTABLE A'!H101/'Discontinued - TABLE B'!O$120</f>
        <v>148.23499999423368</v>
      </c>
      <c r="P104" s="92">
        <f>'Discontinued - OLDTABLE A'!P101/'Discontinued - TABLE B'!P$120</f>
        <v>143.25600000057304</v>
      </c>
      <c r="Q104" s="40">
        <f>'Discontinued - OLDTABLE A'!Q101/'Discontinued - TABLE B'!Q$120</f>
        <v>142.83059999448673</v>
      </c>
      <c r="R104" s="34"/>
      <c r="S104" s="32">
        <f>S$120*'Discontinued - OLDTABLE A'!S101</f>
        <v>232.19839999999999</v>
      </c>
      <c r="T104" s="91">
        <f>T$120*'Discontinued - OLDTABLE A'!T101</f>
        <v>310.38600000000002</v>
      </c>
      <c r="U104" s="127">
        <f>U$120*'Discontinued - OLDTABLE A'!U101</f>
        <v>330.37200000000001</v>
      </c>
      <c r="V104" s="88">
        <f>V$120*'Discontinued - OLDTABLE A'!V101</f>
        <v>348.51600000000002</v>
      </c>
      <c r="W104" s="34">
        <f>W$120*'Discontinued - OLDTABLE A'!W101</f>
        <v>220.87130000000002</v>
      </c>
      <c r="X104" s="91">
        <f>X$120*'Discontinued - OLDTABLE A'!X101</f>
        <v>255.3948</v>
      </c>
      <c r="Y104" s="127">
        <f>Y$120*'Discontinued - OLDTABLE A'!Y101</f>
        <v>216.7296</v>
      </c>
      <c r="Z104" s="32">
        <f>Z$120*'Discontinued - OLDTABLE A'!Z101</f>
        <v>437.99200000000002</v>
      </c>
      <c r="AA104" s="85">
        <f>AA$120*'Discontinued - OLDTABLE A'!AA101</f>
        <v>447.83249999999998</v>
      </c>
    </row>
    <row r="105" spans="1:27" x14ac:dyDescent="0.25">
      <c r="A105" s="124">
        <v>5</v>
      </c>
      <c r="B105" s="123">
        <v>2015</v>
      </c>
      <c r="C105" s="92">
        <f>'Discontinued - OLDTABLE A'!D102/'Discontinued - TABLE B'!C$120</f>
        <v>144.48719999476955</v>
      </c>
      <c r="D105" s="32">
        <f>'Discontinued - OLDTABLE A'!E102/'Discontinued - TABLE B'!D$120</f>
        <v>144.75360000231606</v>
      </c>
      <c r="E105" s="85">
        <f>'Discontinued - OLDTABLE A'!F102/'Discontinued - TABLE B'!E$120</f>
        <v>145.68120000329239</v>
      </c>
      <c r="F105" s="92">
        <f>'Discontinued - OLDTABLE A'!G102/'Discontinued - TABLE B'!F$120</f>
        <v>147.31800000942835</v>
      </c>
      <c r="G105" s="32">
        <f>'Discontinued - OLDTABLE A'!J102/'Discontinued - TABLE B'!G$120</f>
        <v>145.88580000711923</v>
      </c>
      <c r="H105" s="108">
        <f>'Discontinued - OLDTABLE A'!I102/'Discontinued - TABLE B'!H$120</f>
        <v>142.01130000176093</v>
      </c>
      <c r="I105" s="85"/>
      <c r="J105" s="32">
        <f>'Discontinued - OLDTABLE A'!M102/'Discontinued - TABLE B'!J$120</f>
        <v>147.08800000429497</v>
      </c>
      <c r="K105" s="88">
        <f>'Discontinued - OLDTABLE A'!N102/'Discontinued - TABLE B'!K$120</f>
        <v>142.68680000005708</v>
      </c>
      <c r="L105" s="34">
        <f>'Discontinued - OLDTABLE A'!O102/'Discontinued - TABLE B'!L$120</f>
        <v>145.81979999227156</v>
      </c>
      <c r="M105" s="92">
        <f>'Discontinued - OLDTABLE A'!L102/'Discontinued - TABLE B'!M$120</f>
        <v>145.23599999221537</v>
      </c>
      <c r="N105" s="34">
        <f>'Discontinued - OLDTABLE A'!H102/'Discontinued - TABLE B'!N$120</f>
        <v>148.62169999421863</v>
      </c>
      <c r="O105" s="85">
        <f>'Discontinued - OLDTABLE A'!H102/'Discontinued - TABLE B'!O$120</f>
        <v>148.62169999421863</v>
      </c>
      <c r="P105" s="92">
        <f>'Discontinued - OLDTABLE A'!P102/'Discontinued - TABLE B'!P$120</f>
        <v>143.51000000057405</v>
      </c>
      <c r="Q105" s="40">
        <f>'Discontinued - OLDTABLE A'!Q102/'Discontinued - TABLE B'!Q$120</f>
        <v>142.95599999448189</v>
      </c>
      <c r="R105" s="34"/>
      <c r="S105" s="32">
        <f>S$120*'Discontinued - OLDTABLE A'!S102</f>
        <v>228.79039999999998</v>
      </c>
      <c r="T105" s="91">
        <f>T$120*'Discontinued - OLDTABLE A'!T102</f>
        <v>305.18399999999997</v>
      </c>
      <c r="U105" s="127">
        <f>U$120*'Discontinued - OLDTABLE A'!U102</f>
        <v>327.79599999999999</v>
      </c>
      <c r="V105" s="88">
        <f>V$120*'Discontinued - OLDTABLE A'!V102</f>
        <v>352.66500000000002</v>
      </c>
      <c r="W105" s="34">
        <f>W$120*'Discontinued - OLDTABLE A'!W102</f>
        <v>221.25310000000002</v>
      </c>
      <c r="X105" s="91">
        <f>X$120*'Discontinued - OLDTABLE A'!X102</f>
        <v>255.3948</v>
      </c>
      <c r="Y105" s="127">
        <f>Y$120*'Discontinued - OLDTABLE A'!Y102</f>
        <v>216.53040000000001</v>
      </c>
      <c r="Z105" s="32">
        <f>Z$120*'Discontinued - OLDTABLE A'!Z102</f>
        <v>435.87200000000001</v>
      </c>
      <c r="AA105" s="85">
        <f>AA$120*'Discontinued - OLDTABLE A'!AA102</f>
        <v>448.67350000000005</v>
      </c>
    </row>
    <row r="106" spans="1:27" x14ac:dyDescent="0.25">
      <c r="A106" s="124">
        <v>6</v>
      </c>
      <c r="B106" s="123">
        <v>2015</v>
      </c>
      <c r="C106" s="92">
        <f>'Discontinued - OLDTABLE A'!D103/'Discontinued - TABLE B'!C$120</f>
        <v>144.99239999475125</v>
      </c>
      <c r="D106" s="32">
        <f>'Discontinued - OLDTABLE A'!E103/'Discontinued - TABLE B'!D$120</f>
        <v>145.38960000232623</v>
      </c>
      <c r="E106" s="85">
        <f>'Discontinued - OLDTABLE A'!F103/'Discontinued - TABLE B'!E$120</f>
        <v>146.44260000330959</v>
      </c>
      <c r="F106" s="92">
        <f>'Discontinued - OLDTABLE A'!G103/'Discontinued - TABLE B'!F$120</f>
        <v>148.35000000949441</v>
      </c>
      <c r="G106" s="32">
        <f>'Discontinued - OLDTABLE A'!J103/'Discontinued - TABLE B'!G$120</f>
        <v>146.26770000713788</v>
      </c>
      <c r="H106" s="108">
        <f>'Discontinued - OLDTABLE A'!I103/'Discontinued - TABLE B'!H$120</f>
        <v>142.38600000176558</v>
      </c>
      <c r="I106" s="85"/>
      <c r="J106" s="32">
        <f>'Discontinued - OLDTABLE A'!M103/'Discontinued - TABLE B'!J$120</f>
        <v>147.72200000431349</v>
      </c>
      <c r="K106" s="88">
        <f>'Discontinued - OLDTABLE A'!N103/'Discontinued - TABLE B'!K$120</f>
        <v>143.18440000005728</v>
      </c>
      <c r="L106" s="34">
        <f>'Discontinued - OLDTABLE A'!O103/'Discontinued - TABLE B'!L$120</f>
        <v>146.58659999223093</v>
      </c>
      <c r="M106" s="92">
        <f>'Discontinued - OLDTABLE A'!L103/'Discontinued - TABLE B'!M$120</f>
        <v>145.61819999219486</v>
      </c>
      <c r="N106" s="34">
        <f>'Discontinued - OLDTABLE A'!H103/'Discontinued - TABLE B'!N$120</f>
        <v>149.26619999419356</v>
      </c>
      <c r="O106" s="85">
        <f>'Discontinued - OLDTABLE A'!H103/'Discontinued - TABLE B'!O$120</f>
        <v>149.26619999419356</v>
      </c>
      <c r="P106" s="92">
        <f>'Discontinued - OLDTABLE A'!P103/'Discontinued - TABLE B'!P$120</f>
        <v>144.52600000057811</v>
      </c>
      <c r="Q106" s="40">
        <f>'Discontinued - OLDTABLE A'!Q103/'Discontinued - TABLE B'!Q$120</f>
        <v>143.83379999444801</v>
      </c>
      <c r="R106" s="34"/>
      <c r="S106" s="32">
        <f>S$120*'Discontinued - OLDTABLE A'!S103</f>
        <v>229.2448</v>
      </c>
      <c r="T106" s="91">
        <f>T$120*'Discontinued - OLDTABLE A'!T103</f>
        <v>304.31700000000001</v>
      </c>
      <c r="U106" s="127">
        <f>U$120*'Discontinued - OLDTABLE A'!U103</f>
        <v>331.66</v>
      </c>
      <c r="V106" s="88">
        <f>V$120*'Discontinued - OLDTABLE A'!V103</f>
        <v>365.52689999999996</v>
      </c>
      <c r="W106" s="34">
        <f>W$120*'Discontinued - OLDTABLE A'!W103</f>
        <v>221.25310000000002</v>
      </c>
      <c r="X106" s="91">
        <f>X$120*'Discontinued - OLDTABLE A'!X103</f>
        <v>256.05360000000002</v>
      </c>
      <c r="Y106" s="127">
        <f>Y$120*'Discontinued - OLDTABLE A'!Y103</f>
        <v>215.93280000000001</v>
      </c>
      <c r="Z106" s="32">
        <f>Z$120*'Discontinued - OLDTABLE A'!Z103</f>
        <v>456.22399999999999</v>
      </c>
      <c r="AA106" s="85">
        <f>AA$120*'Discontinued - OLDTABLE A'!AA103</f>
        <v>479.37</v>
      </c>
    </row>
    <row r="107" spans="1:27" x14ac:dyDescent="0.25">
      <c r="A107" s="124">
        <v>7</v>
      </c>
      <c r="B107" s="123">
        <v>2015</v>
      </c>
      <c r="C107" s="92">
        <f>'Discontinued - OLDTABLE A'!D104/'Discontinued - TABLE B'!C$120</f>
        <v>146.38169999470097</v>
      </c>
      <c r="D107" s="32">
        <f>'Discontinued - OLDTABLE A'!E104/'Discontinued - TABLE B'!D$120</f>
        <v>146.91600000235067</v>
      </c>
      <c r="E107" s="85">
        <f>'Discontinued - OLDTABLE A'!F104/'Discontinued - TABLE B'!E$120</f>
        <v>148.72680000336123</v>
      </c>
      <c r="F107" s="92">
        <f>'Discontinued - OLDTABLE A'!G104/'Discontinued - TABLE B'!F$120</f>
        <v>150.02700000960172</v>
      </c>
      <c r="G107" s="32">
        <f>'Discontinued - OLDTABLE A'!J104/'Discontinued - TABLE B'!G$120</f>
        <v>147.92260000721862</v>
      </c>
      <c r="H107" s="108">
        <f>'Discontinued - OLDTABLE A'!I104/'Discontinued - TABLE B'!H$120</f>
        <v>144.50930000179193</v>
      </c>
      <c r="I107" s="85"/>
      <c r="J107" s="32">
        <f>'Discontinued - OLDTABLE A'!M104/'Discontinued - TABLE B'!J$120</f>
        <v>149.37040000436161</v>
      </c>
      <c r="K107" s="88">
        <f>'Discontinued - OLDTABLE A'!N104/'Discontinued - TABLE B'!K$120</f>
        <v>144.42840000005776</v>
      </c>
      <c r="L107" s="34">
        <f>'Discontinued - OLDTABLE A'!O104/'Discontinued - TABLE B'!L$120</f>
        <v>148.24799999214287</v>
      </c>
      <c r="M107" s="92">
        <f>'Discontinued - OLDTABLE A'!L104/'Discontinued - TABLE B'!M$120</f>
        <v>147.01959999211977</v>
      </c>
      <c r="N107" s="34">
        <f>'Discontinued - OLDTABLE A'!H104/'Discontinued - TABLE B'!N$120</f>
        <v>150.55519999414341</v>
      </c>
      <c r="O107" s="85">
        <f>'Discontinued - OLDTABLE A'!H104/'Discontinued - TABLE B'!O$120</f>
        <v>150.55519999414341</v>
      </c>
      <c r="P107" s="92">
        <f>'Discontinued - OLDTABLE A'!P104/'Discontinued - TABLE B'!P$120</f>
        <v>145.41500000058167</v>
      </c>
      <c r="Q107" s="40">
        <f>'Discontinued - OLDTABLE A'!Q104/'Discontinued - TABLE B'!Q$120</f>
        <v>144.96239999440445</v>
      </c>
      <c r="R107" s="34"/>
      <c r="S107" s="32">
        <f>S$120*'Discontinued - OLDTABLE A'!S104</f>
        <v>228.79039999999998</v>
      </c>
      <c r="T107" s="91">
        <f>T$120*'Discontinued - OLDTABLE A'!T104</f>
        <v>304.60600000000005</v>
      </c>
      <c r="U107" s="127">
        <f>U$120*'Discontinued - OLDTABLE A'!U104</f>
        <v>326.18600000000004</v>
      </c>
      <c r="V107" s="88">
        <f>V$120*'Discontinued - OLDTABLE A'!V104</f>
        <v>362.20769999999999</v>
      </c>
      <c r="W107" s="34">
        <f>W$120*'Discontinued - OLDTABLE A'!W104</f>
        <v>221.63489999999999</v>
      </c>
      <c r="X107" s="91">
        <f>X$120*'Discontinued - OLDTABLE A'!X104</f>
        <v>257.37120000000004</v>
      </c>
      <c r="Y107" s="127">
        <f>Y$120*'Discontinued - OLDTABLE A'!Y104</f>
        <v>214.73759999999999</v>
      </c>
      <c r="Z107" s="32">
        <f>Z$120*'Discontinued - OLDTABLE A'!Z104</f>
        <v>457.92</v>
      </c>
      <c r="AA107" s="85">
        <f>AA$120*'Discontinued - OLDTABLE A'!AA104</f>
        <v>481.05200000000002</v>
      </c>
    </row>
    <row r="108" spans="1:27" x14ac:dyDescent="0.25">
      <c r="A108" s="124">
        <v>8</v>
      </c>
      <c r="B108" s="123">
        <v>2015</v>
      </c>
      <c r="C108" s="92">
        <f>'Discontinued - OLDTABLE A'!D105/'Discontinued - TABLE B'!C$120</f>
        <v>146.38169999470097</v>
      </c>
      <c r="D108" s="32">
        <f>'Discontinued - OLDTABLE A'!E105/'Discontinued - TABLE B'!D$120</f>
        <v>147.04320000235271</v>
      </c>
      <c r="E108" s="85">
        <f>'Discontinued - OLDTABLE A'!F105/'Discontinued - TABLE B'!E$120</f>
        <v>148.85370000336408</v>
      </c>
      <c r="F108" s="92">
        <f>'Discontinued - OLDTABLE A'!G105/'Discontinued - TABLE B'!F$120</f>
        <v>150.02700000960172</v>
      </c>
      <c r="G108" s="32">
        <f>'Discontinued - OLDTABLE A'!J105/'Discontinued - TABLE B'!G$120</f>
        <v>148.04990000722484</v>
      </c>
      <c r="H108" s="108">
        <f>'Discontinued - OLDTABLE A'!I105/'Discontinued - TABLE B'!H$120</f>
        <v>144.25950000178881</v>
      </c>
      <c r="I108" s="85"/>
      <c r="J108" s="32">
        <f>'Discontinued - OLDTABLE A'!M105/'Discontinued - TABLE B'!J$120</f>
        <v>149.37040000436161</v>
      </c>
      <c r="K108" s="88">
        <f>'Discontinued - OLDTABLE A'!N105/'Discontinued - TABLE B'!K$120</f>
        <v>144.55280000005783</v>
      </c>
      <c r="L108" s="34">
        <f>'Discontinued - OLDTABLE A'!O105/'Discontinued - TABLE B'!L$120</f>
        <v>148.24799999214287</v>
      </c>
      <c r="M108" s="92">
        <f>'Discontinued - OLDTABLE A'!L105/'Discontinued - TABLE B'!M$120</f>
        <v>147.27439999210608</v>
      </c>
      <c r="N108" s="34">
        <f>'Discontinued - OLDTABLE A'!H105/'Discontinued - TABLE B'!N$120</f>
        <v>150.68409999413839</v>
      </c>
      <c r="O108" s="85">
        <f>'Discontinued - OLDTABLE A'!H105/'Discontinued - TABLE B'!O$120</f>
        <v>150.68409999413839</v>
      </c>
      <c r="P108" s="92">
        <f>'Discontinued - OLDTABLE A'!P105/'Discontinued - TABLE B'!P$120</f>
        <v>145.54200000058216</v>
      </c>
      <c r="Q108" s="40">
        <f>'Discontinued - OLDTABLE A'!Q105/'Discontinued - TABLE B'!Q$120</f>
        <v>145.0877999943996</v>
      </c>
      <c r="R108" s="34"/>
      <c r="S108" s="32">
        <f>S$120*'Discontinued - OLDTABLE A'!S105</f>
        <v>229.69919999999996</v>
      </c>
      <c r="T108" s="91">
        <f>T$120*'Discontinued - OLDTABLE A'!T105</f>
        <v>306.34000000000003</v>
      </c>
      <c r="U108" s="127">
        <f>U$120*'Discontinued - OLDTABLE A'!U105</f>
        <v>325.86400000000003</v>
      </c>
      <c r="V108" s="88">
        <f>V$120*'Discontinued - OLDTABLE A'!V105</f>
        <v>339.38819999999998</v>
      </c>
      <c r="W108" s="34">
        <f>W$120*'Discontinued - OLDTABLE A'!W105</f>
        <v>222.01669999999999</v>
      </c>
      <c r="X108" s="91">
        <f>X$120*'Discontinued - OLDTABLE A'!X105</f>
        <v>258.68880000000001</v>
      </c>
      <c r="Y108" s="127">
        <f>Y$120*'Discontinued - OLDTABLE A'!Y105</f>
        <v>215.33519999999999</v>
      </c>
      <c r="Z108" s="32">
        <f>Z$120*'Discontinued - OLDTABLE A'!Z105</f>
        <v>428.24</v>
      </c>
      <c r="AA108" s="85">
        <f>AA$120*'Discontinued - OLDTABLE A'!AA105</f>
        <v>449.09399999999999</v>
      </c>
    </row>
    <row r="109" spans="1:27" x14ac:dyDescent="0.25">
      <c r="A109" s="124">
        <v>9</v>
      </c>
      <c r="B109" s="123">
        <v>2015</v>
      </c>
      <c r="C109" s="92">
        <f>'Discontinued - OLDTABLE A'!D106/'Discontinued - TABLE B'!C$120</f>
        <v>147.01319999467813</v>
      </c>
      <c r="D109" s="32">
        <f>'Discontinued - OLDTABLE A'!E106/'Discontinued - TABLE B'!D$120</f>
        <v>147.17040000235474</v>
      </c>
      <c r="E109" s="85">
        <f>'Discontinued - OLDTABLE A'!F106/'Discontinued - TABLE B'!E$120</f>
        <v>148.85370000336408</v>
      </c>
      <c r="F109" s="92">
        <f>'Discontinued - OLDTABLE A'!G106/'Discontinued - TABLE B'!F$120</f>
        <v>150.15600000960998</v>
      </c>
      <c r="G109" s="32">
        <f>'Discontinued - OLDTABLE A'!J106/'Discontinued - TABLE B'!G$120</f>
        <v>147.92260000721862</v>
      </c>
      <c r="H109" s="108">
        <f>'Discontinued - OLDTABLE A'!I106/'Discontinued - TABLE B'!H$120</f>
        <v>144.00970000178572</v>
      </c>
      <c r="I109" s="85"/>
      <c r="J109" s="32">
        <f>'Discontinued - OLDTABLE A'!M106/'Discontinued - TABLE B'!J$120</f>
        <v>149.37040000436161</v>
      </c>
      <c r="K109" s="88">
        <f>'Discontinued - OLDTABLE A'!N106/'Discontinued - TABLE B'!K$120</f>
        <v>144.67720000005787</v>
      </c>
      <c r="L109" s="34">
        <f>'Discontinued - OLDTABLE A'!O106/'Discontinued - TABLE B'!L$120</f>
        <v>147.99239999215641</v>
      </c>
      <c r="M109" s="92">
        <f>'Discontinued - OLDTABLE A'!L106/'Discontinued - TABLE B'!M$120</f>
        <v>146.89219999212659</v>
      </c>
      <c r="N109" s="34">
        <f>'Discontinued - OLDTABLE A'!H106/'Discontinued - TABLE B'!N$120</f>
        <v>150.55519999414341</v>
      </c>
      <c r="O109" s="85">
        <f>'Discontinued - OLDTABLE A'!H106/'Discontinued - TABLE B'!O$120</f>
        <v>150.55519999414341</v>
      </c>
      <c r="P109" s="92">
        <f>'Discontinued - OLDTABLE A'!P106/'Discontinued - TABLE B'!P$120</f>
        <v>145.28800000058118</v>
      </c>
      <c r="Q109" s="40">
        <f>'Discontinued - OLDTABLE A'!Q106/'Discontinued - TABLE B'!Q$120</f>
        <v>145.33859999438994</v>
      </c>
      <c r="R109" s="34"/>
      <c r="S109" s="32">
        <f>S$120*'Discontinued - OLDTABLE A'!S106</f>
        <v>228.56319999999997</v>
      </c>
      <c r="T109" s="91">
        <f>T$120*'Discontinued - OLDTABLE A'!T106</f>
        <v>305.47300000000001</v>
      </c>
      <c r="U109" s="127">
        <f>U$120*'Discontinued - OLDTABLE A'!U106</f>
        <v>315.88200000000001</v>
      </c>
      <c r="V109" s="88">
        <f>V$120*'Discontinued - OLDTABLE A'!V106</f>
        <v>326.94119999999998</v>
      </c>
      <c r="W109" s="34">
        <f>W$120*'Discontinued - OLDTABLE A'!W106</f>
        <v>224.11660000000001</v>
      </c>
      <c r="X109" s="91">
        <f>X$120*'Discontinued - OLDTABLE A'!X106</f>
        <v>259.78680000000003</v>
      </c>
      <c r="Y109" s="127">
        <f>Y$120*'Discontinued - OLDTABLE A'!Y106</f>
        <v>216.92880000000002</v>
      </c>
      <c r="Z109" s="32">
        <f>Z$120*'Discontinued - OLDTABLE A'!Z106</f>
        <v>407.04</v>
      </c>
      <c r="AA109" s="85">
        <f>AA$120*'Discontinued - OLDTABLE A'!AA106</f>
        <v>426.38700000000006</v>
      </c>
    </row>
    <row r="110" spans="1:27" x14ac:dyDescent="0.25">
      <c r="A110" s="124">
        <v>10</v>
      </c>
      <c r="B110" s="123">
        <v>2015</v>
      </c>
      <c r="C110" s="92">
        <f>'Discontinued - OLDTABLE A'!D107/'Discontinued - TABLE B'!C$120</f>
        <v>147.51839999465983</v>
      </c>
      <c r="D110" s="32">
        <f>'Discontinued - OLDTABLE A'!E107/'Discontinued - TABLE B'!D$120</f>
        <v>147.55200000236084</v>
      </c>
      <c r="E110" s="85">
        <f>'Discontinued - OLDTABLE A'!F107/'Discontinued - TABLE B'!E$120</f>
        <v>149.10750000336984</v>
      </c>
      <c r="F110" s="92">
        <f>'Discontinued - OLDTABLE A'!G107/'Discontinued - TABLE B'!F$120</f>
        <v>150.41400000962648</v>
      </c>
      <c r="G110" s="32">
        <f>'Discontinued - OLDTABLE A'!J107/'Discontinued - TABLE B'!G$120</f>
        <v>148.17720000723105</v>
      </c>
      <c r="H110" s="108">
        <f>'Discontinued - OLDTABLE A'!I107/'Discontinued - TABLE B'!H$120</f>
        <v>144.38440000179037</v>
      </c>
      <c r="I110" s="85"/>
      <c r="J110" s="32">
        <f>'Discontinued - OLDTABLE A'!M107/'Discontinued - TABLE B'!J$120</f>
        <v>149.62400000436901</v>
      </c>
      <c r="K110" s="88">
        <f>'Discontinued - OLDTABLE A'!N107/'Discontinued - TABLE B'!K$120</f>
        <v>145.17480000005807</v>
      </c>
      <c r="L110" s="34">
        <f>'Discontinued - OLDTABLE A'!O107/'Discontinued - TABLE B'!L$120</f>
        <v>148.24799999214287</v>
      </c>
      <c r="M110" s="92">
        <f>'Discontinued - OLDTABLE A'!L107/'Discontinued - TABLE B'!M$120</f>
        <v>147.01959999211977</v>
      </c>
      <c r="N110" s="34">
        <f>'Discontinued - OLDTABLE A'!H107/'Discontinued - TABLE B'!N$120</f>
        <v>150.68409999413839</v>
      </c>
      <c r="O110" s="85">
        <f>'Discontinued - OLDTABLE A'!H107/'Discontinued - TABLE B'!O$120</f>
        <v>150.68409999413839</v>
      </c>
      <c r="P110" s="92">
        <f>'Discontinued - OLDTABLE A'!P107/'Discontinued - TABLE B'!P$120</f>
        <v>145.28800000058118</v>
      </c>
      <c r="Q110" s="40">
        <f>'Discontinued - OLDTABLE A'!Q107/'Discontinued - TABLE B'!Q$120</f>
        <v>145.46399999438509</v>
      </c>
      <c r="R110" s="34"/>
      <c r="S110" s="32">
        <f>S$120*'Discontinued - OLDTABLE A'!S107</f>
        <v>229.2448</v>
      </c>
      <c r="T110" s="91">
        <f>T$120*'Discontinued - OLDTABLE A'!T107</f>
        <v>305.47300000000001</v>
      </c>
      <c r="U110" s="127">
        <f>U$120*'Discontinued - OLDTABLE A'!U107</f>
        <v>307.83199999999999</v>
      </c>
      <c r="V110" s="88">
        <f>V$120*'Discontinued - OLDTABLE A'!V107</f>
        <v>343.53719999999998</v>
      </c>
      <c r="W110" s="34">
        <f>W$120*'Discontinued - OLDTABLE A'!W107</f>
        <v>227.74369999999999</v>
      </c>
      <c r="X110" s="91">
        <f>X$120*'Discontinued - OLDTABLE A'!X107</f>
        <v>262.42200000000003</v>
      </c>
      <c r="Y110" s="127">
        <f>Y$120*'Discontinued - OLDTABLE A'!Y107</f>
        <v>218.5224</v>
      </c>
      <c r="Z110" s="32">
        <f>Z$120*'Discontinued - OLDTABLE A'!Z107</f>
        <v>430.36</v>
      </c>
      <c r="AA110" s="85">
        <f>AA$120*'Discontinued - OLDTABLE A'!AA107</f>
        <v>448.67350000000005</v>
      </c>
    </row>
    <row r="111" spans="1:27" x14ac:dyDescent="0.25">
      <c r="A111" s="124">
        <v>11</v>
      </c>
      <c r="B111" s="123">
        <v>2015</v>
      </c>
      <c r="C111" s="92">
        <f>'Discontinued - OLDTABLE A'!D108/'Discontinued - TABLE B'!C$120</f>
        <v>147.77099999465068</v>
      </c>
      <c r="D111" s="32">
        <f>'Discontinued - OLDTABLE A'!E108/'Discontinued - TABLE B'!D$120</f>
        <v>147.67920000236288</v>
      </c>
      <c r="E111" s="85">
        <f>'Discontinued - OLDTABLE A'!F108/'Discontinued - TABLE B'!E$120</f>
        <v>148.98060000336696</v>
      </c>
      <c r="F111" s="92">
        <f>'Discontinued - OLDTABLE A'!G108/'Discontinued - TABLE B'!F$120</f>
        <v>150.41400000962648</v>
      </c>
      <c r="G111" s="32">
        <f>'Discontinued - OLDTABLE A'!J108/'Discontinued - TABLE B'!G$120</f>
        <v>148.30450000723727</v>
      </c>
      <c r="H111" s="108">
        <f>'Discontinued - OLDTABLE A'!I108/'Discontinued - TABLE B'!H$120</f>
        <v>144.13460000178728</v>
      </c>
      <c r="I111" s="85"/>
      <c r="J111" s="32">
        <f>'Discontinued - OLDTABLE A'!M108/'Discontinued - TABLE B'!J$120</f>
        <v>149.62400000436901</v>
      </c>
      <c r="K111" s="88">
        <f>'Discontinued - OLDTABLE A'!N108/'Discontinued - TABLE B'!K$120</f>
        <v>145.29920000005811</v>
      </c>
      <c r="L111" s="34">
        <f>'Discontinued - OLDTABLE A'!O108/'Discontinued - TABLE B'!L$120</f>
        <v>148.37579999213608</v>
      </c>
      <c r="M111" s="92">
        <f>'Discontinued - OLDTABLE A'!L108/'Discontinued - TABLE B'!M$120</f>
        <v>147.27439999210608</v>
      </c>
      <c r="N111" s="34">
        <f>'Discontinued - OLDTABLE A'!H108/'Discontinued - TABLE B'!N$120</f>
        <v>150.94189999412836</v>
      </c>
      <c r="O111" s="85">
        <f>'Discontinued - OLDTABLE A'!H108/'Discontinued - TABLE B'!O$120</f>
        <v>150.94189999412836</v>
      </c>
      <c r="P111" s="92">
        <f>'Discontinued - OLDTABLE A'!P108/'Discontinued - TABLE B'!P$120</f>
        <v>145.79600000058318</v>
      </c>
      <c r="Q111" s="40">
        <f>'Discontinued - OLDTABLE A'!Q108/'Discontinued - TABLE B'!Q$120</f>
        <v>145.7147999943754</v>
      </c>
      <c r="R111" s="34"/>
      <c r="S111" s="32">
        <f>S$120*'Discontinued - OLDTABLE A'!S108</f>
        <v>229.2448</v>
      </c>
      <c r="T111" s="91">
        <f>T$120*'Discontinued - OLDTABLE A'!T108</f>
        <v>305.18399999999997</v>
      </c>
      <c r="U111" s="127">
        <f>U$120*'Discontinued - OLDTABLE A'!U108</f>
        <v>308.79800000000006</v>
      </c>
      <c r="V111" s="88">
        <f>V$120*'Discontinued - OLDTABLE A'!V108</f>
        <v>340.63290000000001</v>
      </c>
      <c r="W111" s="34">
        <f>W$120*'Discontinued - OLDTABLE A'!W108</f>
        <v>227.93460000000002</v>
      </c>
      <c r="X111" s="91">
        <f>X$120*'Discontinued - OLDTABLE A'!X108</f>
        <v>263.95920000000001</v>
      </c>
      <c r="Y111" s="127">
        <f>Y$120*'Discontinued - OLDTABLE A'!Y108</f>
        <v>219.3192</v>
      </c>
      <c r="Z111" s="32">
        <f>Z$120*'Discontinued - OLDTABLE A'!Z108</f>
        <v>426.54399999999998</v>
      </c>
      <c r="AA111" s="85">
        <f>AA$120*'Discontinued - OLDTABLE A'!AA108</f>
        <v>444.88900000000001</v>
      </c>
    </row>
    <row r="112" spans="1:27" x14ac:dyDescent="0.25">
      <c r="A112" s="124">
        <v>12</v>
      </c>
      <c r="B112" s="123">
        <v>2015</v>
      </c>
      <c r="C112" s="92">
        <f>'Discontinued - OLDTABLE A'!D109/'Discontinued - TABLE B'!C$120</f>
        <v>148.27619999463241</v>
      </c>
      <c r="D112" s="32">
        <f>'Discontinued - OLDTABLE A'!E109/'Discontinued - TABLE B'!D$120</f>
        <v>147.93360000236694</v>
      </c>
      <c r="E112" s="85">
        <f>'Discontinued - OLDTABLE A'!F109/'Discontinued - TABLE B'!E$120</f>
        <v>149.36130000337556</v>
      </c>
      <c r="F112" s="92">
        <f>'Discontinued - OLDTABLE A'!G109/'Discontinued - TABLE B'!F$120</f>
        <v>151.18800000967605</v>
      </c>
      <c r="G112" s="32">
        <f>'Discontinued - OLDTABLE A'!J109/'Discontinued - TABLE B'!G$120</f>
        <v>148.94100000726831</v>
      </c>
      <c r="H112" s="108">
        <f>'Discontinued - OLDTABLE A'!I109/'Discontinued - TABLE B'!H$120</f>
        <v>144.50930000179193</v>
      </c>
      <c r="I112" s="85"/>
      <c r="J112" s="32">
        <f>'Discontinued - OLDTABLE A'!M109/'Discontinued - TABLE B'!J$120</f>
        <v>150.13120000438383</v>
      </c>
      <c r="K112" s="88">
        <f>'Discontinued - OLDTABLE A'!N109/'Discontinued - TABLE B'!K$120</f>
        <v>145.79680000005831</v>
      </c>
      <c r="L112" s="34">
        <f>'Discontinued - OLDTABLE A'!O109/'Discontinued - TABLE B'!L$120</f>
        <v>148.75919999211578</v>
      </c>
      <c r="M112" s="92">
        <f>'Discontinued - OLDTABLE A'!L109/'Discontinued - TABLE B'!M$120</f>
        <v>147.91139999207195</v>
      </c>
      <c r="N112" s="34">
        <f>'Discontinued - OLDTABLE A'!H109/'Discontinued - TABLE B'!N$120</f>
        <v>151.71529999409827</v>
      </c>
      <c r="O112" s="85">
        <f>'Discontinued - OLDTABLE A'!H109/'Discontinued - TABLE B'!O$120</f>
        <v>151.71529999409827</v>
      </c>
      <c r="P112" s="92">
        <f>'Discontinued - OLDTABLE A'!P109/'Discontinued - TABLE B'!P$120</f>
        <v>146.17700000058471</v>
      </c>
      <c r="Q112" s="40">
        <f>'Discontinued - OLDTABLE A'!Q109/'Discontinued - TABLE B'!Q$120</f>
        <v>146.34179999435122</v>
      </c>
      <c r="R112" s="34"/>
      <c r="S112" s="32">
        <f>S$120*'Discontinued - OLDTABLE A'!S109</f>
        <v>228.56319999999997</v>
      </c>
      <c r="T112" s="91">
        <f>T$120*'Discontinued - OLDTABLE A'!T109</f>
        <v>306.34000000000003</v>
      </c>
      <c r="U112" s="127">
        <f>U$120*'Discontinued - OLDTABLE A'!U109</f>
        <v>314.27199999999999</v>
      </c>
      <c r="V112" s="88">
        <f>V$120*'Discontinued - OLDTABLE A'!V109</f>
        <v>339.80310000000003</v>
      </c>
      <c r="W112" s="34">
        <f>W$120*'Discontinued - OLDTABLE A'!W109</f>
        <v>227.93460000000002</v>
      </c>
      <c r="X112" s="91">
        <f>X$120*'Discontinued - OLDTABLE A'!X109</f>
        <v>264.17880000000002</v>
      </c>
      <c r="Y112" s="127">
        <f>Y$120*'Discontinued - OLDTABLE A'!Y109</f>
        <v>219.51840000000001</v>
      </c>
      <c r="Z112" s="32">
        <f>Z$120*'Discontinued - OLDTABLE A'!Z109</f>
        <v>425.69600000000003</v>
      </c>
      <c r="AA112" s="85">
        <f>AA$120*'Discontinued - OLDTABLE A'!AA109</f>
        <v>443.20700000000005</v>
      </c>
    </row>
    <row r="113" spans="1:27" x14ac:dyDescent="0.25">
      <c r="A113" s="124">
        <v>1</v>
      </c>
      <c r="B113" s="123">
        <v>2016</v>
      </c>
      <c r="C113" s="92">
        <f>'Discontinued - OLDTABLE A'!D110/'Discontinued - TABLE B'!C$120</f>
        <v>149.16029999460039</v>
      </c>
      <c r="D113" s="32">
        <f>'Discontinued - OLDTABLE A'!E110/'Discontinued - TABLE B'!D$120</f>
        <v>149.07840000238528</v>
      </c>
      <c r="E113" s="85">
        <f>'Discontinued - OLDTABLE A'!F110/'Discontinued - TABLE B'!E$120</f>
        <v>150.24960000339564</v>
      </c>
      <c r="F113" s="92">
        <f>'Discontinued - OLDTABLE A'!G110/'Discontinued - TABLE B'!F$120</f>
        <v>151.83300000971732</v>
      </c>
      <c r="G113" s="32">
        <f>'Discontinued - OLDTABLE A'!J110/'Discontinued - TABLE B'!G$120</f>
        <v>149.83210000731182</v>
      </c>
      <c r="H113" s="108">
        <f>'Discontinued - OLDTABLE A'!I110/'Discontinued - TABLE B'!H$120</f>
        <v>145.00890000179811</v>
      </c>
      <c r="I113" s="85"/>
      <c r="J113" s="32">
        <f>'Discontinued - OLDTABLE A'!M110/'Discontinued - TABLE B'!J$120</f>
        <v>151.27240000441714</v>
      </c>
      <c r="K113" s="88">
        <f>'Discontinued - OLDTABLE A'!N110/'Discontinued - TABLE B'!K$120</f>
        <v>146.91640000005876</v>
      </c>
      <c r="L113" s="34">
        <f>'Discontinued - OLDTABLE A'!O110/'Discontinued - TABLE B'!L$120</f>
        <v>150.16499999204126</v>
      </c>
      <c r="M113" s="92">
        <f>'Discontinued - OLDTABLE A'!L110/'Discontinued - TABLE B'!M$120</f>
        <v>149.05799999201051</v>
      </c>
      <c r="N113" s="34">
        <f>'Discontinued - OLDTABLE A'!H110/'Discontinued - TABLE B'!N$120</f>
        <v>153.51989999402807</v>
      </c>
      <c r="O113" s="85">
        <f>'Discontinued - OLDTABLE A'!H110/'Discontinued - TABLE B'!O$120</f>
        <v>153.51989999402807</v>
      </c>
      <c r="P113" s="92">
        <f>'Discontinued - OLDTABLE A'!P110/'Discontinued - TABLE B'!P$120</f>
        <v>147.95500000059184</v>
      </c>
      <c r="Q113" s="40">
        <f>'Discontinued - OLDTABLE A'!Q110/'Discontinued - TABLE B'!Q$120</f>
        <v>147.47039999430763</v>
      </c>
      <c r="R113" s="34"/>
      <c r="S113" s="32">
        <f>S$120*'Discontinued - OLDTABLE A'!S110</f>
        <v>234.9248</v>
      </c>
      <c r="T113" s="91">
        <f>T$120*'Discontinued - OLDTABLE A'!T110</f>
        <v>312.98700000000002</v>
      </c>
      <c r="U113" s="127">
        <f>U$120*'Discontinued - OLDTABLE A'!U110</f>
        <v>311.69600000000003</v>
      </c>
      <c r="V113" s="88">
        <f>V$120*'Discontinued - OLDTABLE A'!V110</f>
        <v>314.49419999999998</v>
      </c>
      <c r="W113" s="34">
        <f>W$120*'Discontinued - OLDTABLE A'!W110</f>
        <v>239.38860000000003</v>
      </c>
      <c r="X113" s="91">
        <f>X$120*'Discontinued - OLDTABLE A'!X110</f>
        <v>272.96280000000002</v>
      </c>
      <c r="Y113" s="127">
        <f>Y$120*'Discontinued - OLDTABLE A'!Y110</f>
        <v>226.09200000000001</v>
      </c>
      <c r="Z113" s="32">
        <f>Z$120*'Discontinued - OLDTABLE A'!Z110</f>
        <v>396.01600000000002</v>
      </c>
      <c r="AA113" s="85">
        <f>AA$120*'Discontinued - OLDTABLE A'!AA110</f>
        <v>411.24899999999997</v>
      </c>
    </row>
    <row r="114" spans="1:27" x14ac:dyDescent="0.25">
      <c r="A114" s="124">
        <v>2</v>
      </c>
      <c r="B114" s="123">
        <v>2016</v>
      </c>
      <c r="C114" s="92">
        <f>'Discontinued - OLDTABLE A'!D111/'Discontinued - TABLE B'!C$120</f>
        <v>150.80219999454096</v>
      </c>
      <c r="D114" s="32">
        <f>'Discontinued - OLDTABLE A'!E111/'Discontinued - TABLE B'!D$120</f>
        <v>151.49520000242393</v>
      </c>
      <c r="E114" s="85">
        <f>'Discontinued - OLDTABLE A'!F111/'Discontinued - TABLE B'!E$120</f>
        <v>152.66070000345013</v>
      </c>
      <c r="F114" s="92">
        <f>'Discontinued - OLDTABLE A'!G111/'Discontinued - TABLE B'!F$120</f>
        <v>153.38100000981638</v>
      </c>
      <c r="G114" s="32">
        <f>'Discontinued - OLDTABLE A'!J111/'Discontinued - TABLE B'!G$120</f>
        <v>152.37810000743607</v>
      </c>
      <c r="H114" s="108">
        <f>'Discontinued - OLDTABLE A'!I111/'Discontinued - TABLE B'!H$120</f>
        <v>146.88240000182134</v>
      </c>
      <c r="I114" s="85"/>
      <c r="J114" s="32">
        <f>'Discontinued - OLDTABLE A'!M111/'Discontinued - TABLE B'!J$120</f>
        <v>153.30120000447639</v>
      </c>
      <c r="K114" s="88">
        <f>'Discontinued - OLDTABLE A'!N111/'Discontinued - TABLE B'!K$120</f>
        <v>149.15560000005968</v>
      </c>
      <c r="L114" s="34">
        <f>'Discontinued - OLDTABLE A'!O111/'Discontinued - TABLE B'!L$120</f>
        <v>152.08199999193965</v>
      </c>
      <c r="M114" s="92">
        <f>'Discontinued - OLDTABLE A'!L111/'Discontinued - TABLE B'!M$120</f>
        <v>150.8415999919149</v>
      </c>
      <c r="N114" s="34">
        <f>'Discontinued - OLDTABLE A'!H111/'Discontinued - TABLE B'!N$120</f>
        <v>155.58229999394786</v>
      </c>
      <c r="O114" s="85">
        <f>'Discontinued - OLDTABLE A'!H111/'Discontinued - TABLE B'!O$120</f>
        <v>155.58229999394786</v>
      </c>
      <c r="P114" s="92">
        <f>'Discontinued - OLDTABLE A'!P111/'Discontinued - TABLE B'!P$120</f>
        <v>150.11400000060047</v>
      </c>
      <c r="Q114" s="40">
        <f>'Discontinued - OLDTABLE A'!Q111/'Discontinued - TABLE B'!Q$120</f>
        <v>149.22599999423988</v>
      </c>
      <c r="R114" s="34"/>
      <c r="S114" s="32">
        <f>S$120*'Discontinued - OLDTABLE A'!S111</f>
        <v>239.92319999999995</v>
      </c>
      <c r="T114" s="91">
        <f>T$120*'Discontinued - OLDTABLE A'!T111</f>
        <v>321.94600000000003</v>
      </c>
      <c r="U114" s="127">
        <f>U$120*'Discontinued - OLDTABLE A'!U111</f>
        <v>312.98400000000004</v>
      </c>
      <c r="V114" s="88">
        <f>V$120*'Discontinued - OLDTABLE A'!V111</f>
        <v>294.57900000000001</v>
      </c>
      <c r="W114" s="34">
        <f>W$120*'Discontinued - OLDTABLE A'!W111</f>
        <v>240.34310000000002</v>
      </c>
      <c r="X114" s="91">
        <f>X$120*'Discontinued - OLDTABLE A'!X111</f>
        <v>272.08440000000002</v>
      </c>
      <c r="Y114" s="127">
        <f>Y$120*'Discontinued - OLDTABLE A'!Y111</f>
        <v>227.28719999999998</v>
      </c>
      <c r="Z114" s="32">
        <f>Z$120*'Discontinued - OLDTABLE A'!Z111</f>
        <v>371.42399999999998</v>
      </c>
      <c r="AA114" s="85">
        <f>AA$120*'Discontinued - OLDTABLE A'!AA111</f>
        <v>384.75749999999999</v>
      </c>
    </row>
    <row r="115" spans="1:27" x14ac:dyDescent="0.25">
      <c r="A115" s="124">
        <v>3</v>
      </c>
      <c r="B115" s="123">
        <v>2016</v>
      </c>
      <c r="C115" s="92">
        <f>'Discontinued - OLDTABLE A'!D112/'Discontinued - TABLE B'!C$120</f>
        <v>152.06519999449523</v>
      </c>
      <c r="D115" s="32">
        <f>'Discontinued - OLDTABLE A'!E112/'Discontinued - TABLE B'!D$120</f>
        <v>152.76720000244427</v>
      </c>
      <c r="E115" s="85">
        <f>'Discontinued - OLDTABLE A'!F112/'Discontinued - TABLE B'!E$120</f>
        <v>153.80280000347594</v>
      </c>
      <c r="F115" s="92">
        <f>'Discontinued - OLDTABLE A'!G112/'Discontinued - TABLE B'!F$120</f>
        <v>154.41300000988244</v>
      </c>
      <c r="G115" s="32">
        <f>'Discontinued - OLDTABLE A'!J112/'Discontinued - TABLE B'!G$120</f>
        <v>153.39650000748574</v>
      </c>
      <c r="H115" s="108">
        <f>'Discontinued - OLDTABLE A'!I112/'Discontinued - TABLE B'!H$120</f>
        <v>148.00650000183529</v>
      </c>
      <c r="I115" s="85"/>
      <c r="J115" s="32">
        <f>'Discontinued - OLDTABLE A'!M112/'Discontinued - TABLE B'!J$120</f>
        <v>154.1888000045023</v>
      </c>
      <c r="K115" s="88">
        <f>'Discontinued - OLDTABLE A'!N112/'Discontinued - TABLE B'!K$120</f>
        <v>150.2752000000601</v>
      </c>
      <c r="L115" s="34">
        <f>'Discontinued - OLDTABLE A'!O112/'Discontinued - TABLE B'!L$120</f>
        <v>153.10439999188546</v>
      </c>
      <c r="M115" s="92">
        <f>'Discontinued - OLDTABLE A'!L112/'Discontinued - TABLE B'!M$120</f>
        <v>151.60599999187392</v>
      </c>
      <c r="N115" s="34">
        <f>'Discontinued - OLDTABLE A'!H112/'Discontinued - TABLE B'!N$120</f>
        <v>156.87129999389771</v>
      </c>
      <c r="O115" s="85">
        <f>'Discontinued - OLDTABLE A'!H112/'Discontinued - TABLE B'!O$120</f>
        <v>156.87129999389771</v>
      </c>
      <c r="P115" s="92">
        <f>'Discontinued - OLDTABLE A'!P112/'Discontinued - TABLE B'!P$120</f>
        <v>151.13000000060453</v>
      </c>
      <c r="Q115" s="40">
        <f>'Discontinued - OLDTABLE A'!Q112/'Discontinued - TABLE B'!Q$120</f>
        <v>150.60539999418663</v>
      </c>
      <c r="R115" s="34"/>
      <c r="S115" s="32">
        <f>S$120*'Discontinued - OLDTABLE A'!S112</f>
        <v>240.37759999999997</v>
      </c>
      <c r="T115" s="91">
        <f>T$120*'Discontinued - OLDTABLE A'!T112</f>
        <v>317.61100000000005</v>
      </c>
      <c r="U115" s="127">
        <f>U$120*'Discontinued - OLDTABLE A'!U112</f>
        <v>307.83199999999999</v>
      </c>
      <c r="V115" s="381" t="s">
        <v>105</v>
      </c>
      <c r="W115" s="34">
        <f>W$120*'Discontinued - OLDTABLE A'!W112</f>
        <v>242.82480000000001</v>
      </c>
      <c r="X115" s="91">
        <f>X$120*'Discontinued - OLDTABLE A'!X112</f>
        <v>274.93920000000003</v>
      </c>
      <c r="Y115" s="127">
        <f>Y$120*'Discontinued - OLDTABLE A'!Y112</f>
        <v>229.67759999999998</v>
      </c>
      <c r="Z115" s="382" t="s">
        <v>105</v>
      </c>
      <c r="AA115" s="383" t="s">
        <v>105</v>
      </c>
    </row>
    <row r="116" spans="1:27" x14ac:dyDescent="0.25">
      <c r="A116" s="124"/>
      <c r="B116" s="123"/>
      <c r="C116" s="92"/>
      <c r="D116" s="32"/>
      <c r="E116" s="85"/>
      <c r="F116" s="92"/>
      <c r="G116" s="32"/>
      <c r="H116" s="108"/>
      <c r="I116" s="85"/>
      <c r="J116" s="32"/>
      <c r="K116" s="88"/>
      <c r="L116" s="34"/>
      <c r="M116" s="92"/>
      <c r="N116" s="34"/>
      <c r="O116" s="85"/>
      <c r="P116" s="92"/>
      <c r="Q116" s="40"/>
      <c r="R116" s="34"/>
      <c r="S116" s="32"/>
      <c r="T116" s="91"/>
      <c r="U116" s="127"/>
      <c r="V116" s="88"/>
      <c r="W116" s="34"/>
      <c r="X116" s="91"/>
      <c r="Y116" s="127"/>
      <c r="Z116" s="32"/>
      <c r="AA116" s="85"/>
    </row>
    <row r="117" spans="1:27" ht="15.75" x14ac:dyDescent="0.25">
      <c r="A117" s="124"/>
      <c r="B117" s="123"/>
      <c r="C117" s="934" t="s">
        <v>106</v>
      </c>
      <c r="D117" s="935"/>
      <c r="E117" s="935"/>
      <c r="F117" s="935"/>
      <c r="G117" s="935"/>
      <c r="H117" s="935"/>
      <c r="I117" s="935"/>
      <c r="J117" s="935"/>
      <c r="K117" s="935"/>
      <c r="L117" s="935"/>
      <c r="M117" s="935"/>
      <c r="N117" s="935"/>
      <c r="O117" s="935"/>
      <c r="P117" s="935"/>
      <c r="Q117" s="935"/>
      <c r="R117" s="34"/>
      <c r="S117" s="934" t="s">
        <v>106</v>
      </c>
      <c r="T117" s="935"/>
      <c r="U117" s="935"/>
      <c r="V117" s="935"/>
      <c r="W117" s="935"/>
      <c r="X117" s="935"/>
      <c r="Y117" s="935"/>
      <c r="Z117" s="935"/>
      <c r="AA117" s="936"/>
    </row>
    <row r="118" spans="1:27" ht="15.75" hidden="1" customHeight="1" x14ac:dyDescent="0.25">
      <c r="A118" s="124"/>
      <c r="B118" s="123"/>
      <c r="C118" s="92"/>
      <c r="D118" s="32"/>
      <c r="E118" s="85"/>
      <c r="F118" s="92"/>
      <c r="G118" s="32"/>
      <c r="H118" s="108"/>
      <c r="I118" s="85"/>
      <c r="J118" s="32"/>
      <c r="K118" s="88"/>
      <c r="L118" s="34"/>
      <c r="M118" s="92"/>
      <c r="N118" s="34"/>
      <c r="O118" s="85"/>
      <c r="P118" s="92"/>
      <c r="Q118" s="40"/>
      <c r="R118" s="34"/>
      <c r="S118" s="32"/>
      <c r="T118" s="91"/>
      <c r="U118" s="127"/>
      <c r="V118" s="88"/>
      <c r="W118" s="34"/>
      <c r="X118" s="91"/>
      <c r="Y118" s="127"/>
      <c r="Z118" s="32"/>
      <c r="AA118" s="85"/>
    </row>
    <row r="119" spans="1:27" ht="15.75" hidden="1" thickBot="1" x14ac:dyDescent="0.3">
      <c r="A119" s="124"/>
      <c r="B119" s="123"/>
      <c r="C119" s="92"/>
      <c r="D119" s="32"/>
      <c r="E119" s="85"/>
      <c r="F119" s="92"/>
      <c r="G119" s="32"/>
      <c r="H119" s="108"/>
      <c r="I119" s="85"/>
      <c r="J119" s="32"/>
      <c r="K119" s="88"/>
      <c r="L119" s="34"/>
      <c r="M119" s="92"/>
      <c r="N119" s="34"/>
      <c r="O119" s="85"/>
      <c r="P119" s="92"/>
      <c r="Q119" s="40"/>
      <c r="R119" s="34"/>
      <c r="S119" s="32"/>
      <c r="T119" s="91"/>
      <c r="U119" s="127"/>
      <c r="V119" s="88"/>
      <c r="W119" s="34"/>
      <c r="X119" s="91"/>
      <c r="Y119" s="127"/>
      <c r="Z119" s="32"/>
      <c r="AA119" s="85"/>
    </row>
    <row r="120" spans="1:27" ht="15.75" hidden="1" thickBot="1" x14ac:dyDescent="0.3">
      <c r="A120" s="124"/>
      <c r="B120" s="123"/>
      <c r="C120" s="74">
        <v>0.79176563740000006</v>
      </c>
      <c r="D120" s="74">
        <v>0.78616352199999995</v>
      </c>
      <c r="E120" s="156">
        <v>0.78802206460000002</v>
      </c>
      <c r="F120" s="76">
        <v>0.77519379840000002</v>
      </c>
      <c r="G120" s="74">
        <v>0.78554595439999997</v>
      </c>
      <c r="H120" s="339">
        <v>0.8006405124</v>
      </c>
      <c r="I120" s="156"/>
      <c r="J120" s="74">
        <v>0.78864353310000002</v>
      </c>
      <c r="K120" s="155">
        <v>0.80385852089999998</v>
      </c>
      <c r="L120" s="75">
        <v>0.78247261349999997</v>
      </c>
      <c r="M120" s="76">
        <v>0.78492935639999994</v>
      </c>
      <c r="N120" s="154">
        <v>0.77579519009999998</v>
      </c>
      <c r="O120" s="156">
        <v>0.77579519009999998</v>
      </c>
      <c r="P120" s="76">
        <v>0.78740157479999995</v>
      </c>
      <c r="Q120" s="75">
        <v>0.79744816590000001</v>
      </c>
      <c r="R120" s="323"/>
      <c r="S120" s="78">
        <v>2.2719999999999998</v>
      </c>
      <c r="T120" s="106">
        <v>2.89</v>
      </c>
      <c r="U120" s="329">
        <v>3.22</v>
      </c>
      <c r="V120" s="79">
        <v>4.149</v>
      </c>
      <c r="W120" s="81">
        <v>1.909</v>
      </c>
      <c r="X120" s="79">
        <v>2.1960000000000002</v>
      </c>
      <c r="Y120" s="80">
        <v>1.992</v>
      </c>
      <c r="Z120" s="107">
        <v>4.24</v>
      </c>
      <c r="AA120" s="82">
        <v>4.2050000000000001</v>
      </c>
    </row>
    <row r="121" spans="1:27" hidden="1" x14ac:dyDescent="0.25"/>
    <row r="122" spans="1:27" hidden="1" x14ac:dyDescent="0.25"/>
    <row r="123" spans="1:27" hidden="1" x14ac:dyDescent="0.25"/>
    <row r="124" spans="1:27" ht="15.75" x14ac:dyDescent="0.25">
      <c r="C124" s="926" t="s">
        <v>110</v>
      </c>
      <c r="D124" s="927"/>
      <c r="E124" s="927"/>
      <c r="F124" s="927"/>
      <c r="G124" s="927"/>
      <c r="H124" s="927"/>
      <c r="I124" s="927"/>
      <c r="J124" s="927"/>
      <c r="K124" s="927"/>
      <c r="L124" s="927"/>
      <c r="M124" s="927"/>
      <c r="N124" s="927"/>
      <c r="O124" s="927"/>
      <c r="P124" s="927"/>
      <c r="Q124" s="927"/>
      <c r="R124" s="927"/>
      <c r="S124" s="927"/>
      <c r="T124" s="927"/>
      <c r="U124" s="927"/>
      <c r="V124" s="927"/>
      <c r="W124" s="927"/>
      <c r="X124" s="927"/>
      <c r="Y124" s="927"/>
      <c r="Z124" s="927"/>
      <c r="AA124" s="927"/>
    </row>
    <row r="125" spans="1:27" ht="15.75" x14ac:dyDescent="0.25">
      <c r="C125" s="926" t="s">
        <v>111</v>
      </c>
      <c r="D125" s="927"/>
      <c r="E125" s="927"/>
      <c r="F125" s="927"/>
      <c r="G125" s="927"/>
      <c r="H125" s="927"/>
      <c r="I125" s="927"/>
      <c r="J125" s="927"/>
      <c r="K125" s="927"/>
      <c r="L125" s="927"/>
      <c r="M125" s="927"/>
      <c r="N125" s="927"/>
      <c r="O125" s="927"/>
      <c r="P125" s="927"/>
      <c r="Q125" s="927"/>
      <c r="R125" s="927"/>
      <c r="S125" s="927"/>
      <c r="T125" s="927"/>
      <c r="U125" s="927"/>
      <c r="V125" s="927"/>
      <c r="W125" s="927"/>
      <c r="X125" s="927"/>
      <c r="Y125" s="927"/>
      <c r="Z125" s="927"/>
      <c r="AA125" s="927"/>
    </row>
  </sheetData>
  <mergeCells count="6">
    <mergeCell ref="C125:AA125"/>
    <mergeCell ref="G5:I5"/>
    <mergeCell ref="V5:AA5"/>
    <mergeCell ref="C117:Q117"/>
    <mergeCell ref="S117:AA117"/>
    <mergeCell ref="C124:AA12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72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5" x14ac:dyDescent="0.25"/>
  <cols>
    <col min="3" max="3" width="16.7109375" customWidth="1"/>
    <col min="4" max="5" width="13.7109375" customWidth="1"/>
    <col min="6" max="6" width="15.7109375" customWidth="1"/>
    <col min="7" max="17" width="13.7109375" customWidth="1"/>
    <col min="18" max="18" width="1.28515625" customWidth="1"/>
    <col min="19" max="27" width="13.7109375" customWidth="1"/>
  </cols>
  <sheetData>
    <row r="1" spans="1:27" ht="18" x14ac:dyDescent="0.25">
      <c r="C1" s="121" t="s">
        <v>64</v>
      </c>
    </row>
    <row r="3" spans="1:27" ht="15.75" x14ac:dyDescent="0.25">
      <c r="C3" s="55" t="s">
        <v>46</v>
      </c>
      <c r="D3" s="9"/>
      <c r="E3" s="9"/>
      <c r="F3" s="9"/>
      <c r="G3" s="9"/>
      <c r="H3" s="9"/>
      <c r="I3" s="9"/>
      <c r="J3" s="9"/>
      <c r="K3" s="9"/>
      <c r="L3" s="9"/>
      <c r="M3" s="9"/>
      <c r="T3" s="55" t="s">
        <v>47</v>
      </c>
    </row>
    <row r="4" spans="1:27" ht="15.75" thickBot="1" x14ac:dyDescent="0.3"/>
    <row r="5" spans="1:27" ht="18.75" thickBot="1" x14ac:dyDescent="0.3">
      <c r="A5" s="1" t="s">
        <v>18</v>
      </c>
      <c r="B5" s="10"/>
      <c r="C5" s="12" t="s">
        <v>8</v>
      </c>
      <c r="D5" s="13" t="s">
        <v>36</v>
      </c>
      <c r="E5" s="14"/>
      <c r="F5" s="12" t="s">
        <v>9</v>
      </c>
      <c r="G5" s="928" t="s">
        <v>38</v>
      </c>
      <c r="H5" s="929"/>
      <c r="I5" s="930"/>
      <c r="J5" s="15"/>
      <c r="K5" s="15" t="s">
        <v>11</v>
      </c>
      <c r="L5" s="14"/>
      <c r="M5" s="15" t="s">
        <v>24</v>
      </c>
      <c r="N5" s="16" t="s">
        <v>37</v>
      </c>
      <c r="O5" s="14"/>
      <c r="P5" s="15" t="s">
        <v>12</v>
      </c>
      <c r="Q5" s="12" t="s">
        <v>13</v>
      </c>
      <c r="R5" s="320"/>
      <c r="S5" s="1" t="s">
        <v>61</v>
      </c>
      <c r="T5" s="56"/>
      <c r="U5" s="56"/>
      <c r="V5" s="57"/>
      <c r="W5" s="57"/>
      <c r="X5" s="57"/>
      <c r="Y5" s="57"/>
      <c r="Z5" s="11"/>
      <c r="AA5" s="10"/>
    </row>
    <row r="6" spans="1:27" ht="18.75" thickBot="1" x14ac:dyDescent="0.3">
      <c r="A6" s="17"/>
      <c r="B6" s="2"/>
      <c r="C6" s="20" t="s">
        <v>30</v>
      </c>
      <c r="D6" s="24" t="s">
        <v>25</v>
      </c>
      <c r="E6" s="23" t="s">
        <v>33</v>
      </c>
      <c r="F6" s="20" t="s">
        <v>10</v>
      </c>
      <c r="G6" s="24" t="s">
        <v>26</v>
      </c>
      <c r="H6" s="332" t="s">
        <v>0</v>
      </c>
      <c r="I6" s="324" t="s">
        <v>98</v>
      </c>
      <c r="J6" s="335" t="s">
        <v>19</v>
      </c>
      <c r="K6" s="26" t="s">
        <v>23</v>
      </c>
      <c r="L6" s="23" t="s">
        <v>23</v>
      </c>
      <c r="M6" s="20" t="s">
        <v>24</v>
      </c>
      <c r="N6" s="24" t="s">
        <v>2</v>
      </c>
      <c r="O6" s="23" t="s">
        <v>35</v>
      </c>
      <c r="P6" s="20" t="s">
        <v>27</v>
      </c>
      <c r="Q6" s="20" t="s">
        <v>3</v>
      </c>
      <c r="R6" s="321"/>
      <c r="S6" s="24" t="s">
        <v>48</v>
      </c>
      <c r="T6" s="43" t="s">
        <v>49</v>
      </c>
      <c r="U6" s="46" t="s">
        <v>49</v>
      </c>
      <c r="V6" s="29" t="s">
        <v>49</v>
      </c>
      <c r="W6" s="26" t="s">
        <v>49</v>
      </c>
      <c r="X6" s="43" t="s">
        <v>49</v>
      </c>
      <c r="Y6" s="46" t="s">
        <v>49</v>
      </c>
      <c r="Z6" s="41" t="s">
        <v>41</v>
      </c>
      <c r="AA6" s="28"/>
    </row>
    <row r="7" spans="1:27" ht="18" x14ac:dyDescent="0.25">
      <c r="A7" s="117" t="s">
        <v>62</v>
      </c>
      <c r="B7" s="118"/>
      <c r="C7" s="21" t="s">
        <v>31</v>
      </c>
      <c r="D7" s="25" t="s">
        <v>32</v>
      </c>
      <c r="E7" s="4"/>
      <c r="F7" s="21"/>
      <c r="G7" s="25"/>
      <c r="H7" s="333" t="s">
        <v>4</v>
      </c>
      <c r="I7" s="325" t="s">
        <v>99</v>
      </c>
      <c r="J7" s="336" t="s">
        <v>20</v>
      </c>
      <c r="K7" s="27" t="s">
        <v>34</v>
      </c>
      <c r="L7" s="4" t="s">
        <v>15</v>
      </c>
      <c r="M7" s="21" t="s">
        <v>55</v>
      </c>
      <c r="N7" s="25"/>
      <c r="O7" s="4"/>
      <c r="P7" s="21" t="s">
        <v>28</v>
      </c>
      <c r="Q7" s="21" t="s">
        <v>21</v>
      </c>
      <c r="R7" s="321"/>
      <c r="S7" s="25" t="s">
        <v>16</v>
      </c>
      <c r="T7" s="44" t="s">
        <v>39</v>
      </c>
      <c r="U7" s="47" t="s">
        <v>17</v>
      </c>
      <c r="V7" s="30" t="s">
        <v>40</v>
      </c>
      <c r="W7" s="27" t="s">
        <v>16</v>
      </c>
      <c r="X7" s="44" t="s">
        <v>39</v>
      </c>
      <c r="Y7" s="47" t="s">
        <v>17</v>
      </c>
      <c r="Z7" s="24" t="s">
        <v>49</v>
      </c>
      <c r="AA7" s="4" t="s">
        <v>49</v>
      </c>
    </row>
    <row r="8" spans="1:27" ht="18.75" thickBot="1" x14ac:dyDescent="0.3">
      <c r="A8" s="119" t="s">
        <v>63</v>
      </c>
      <c r="B8" s="120"/>
      <c r="C8" s="21"/>
      <c r="D8" s="25"/>
      <c r="E8" s="4"/>
      <c r="F8" s="21"/>
      <c r="G8" s="25"/>
      <c r="H8" s="333"/>
      <c r="I8" s="325"/>
      <c r="J8" s="336" t="s">
        <v>22</v>
      </c>
      <c r="K8" s="27"/>
      <c r="L8" s="4"/>
      <c r="M8" s="21"/>
      <c r="N8" s="25"/>
      <c r="O8" s="4"/>
      <c r="P8" s="21"/>
      <c r="Q8" s="21"/>
      <c r="R8" s="321"/>
      <c r="S8" s="25" t="s">
        <v>5</v>
      </c>
      <c r="T8" s="44" t="s">
        <v>5</v>
      </c>
      <c r="U8" s="47" t="s">
        <v>5</v>
      </c>
      <c r="V8" s="30" t="s">
        <v>29</v>
      </c>
      <c r="W8" s="27" t="s">
        <v>6</v>
      </c>
      <c r="X8" s="44" t="s">
        <v>6</v>
      </c>
      <c r="Y8" s="47" t="s">
        <v>6</v>
      </c>
      <c r="Z8" s="25" t="s">
        <v>1</v>
      </c>
      <c r="AA8" s="4" t="s">
        <v>7</v>
      </c>
    </row>
    <row r="9" spans="1:27" ht="18.75" thickBot="1" x14ac:dyDescent="0.3">
      <c r="A9" s="19"/>
      <c r="B9" s="42" t="s">
        <v>14</v>
      </c>
      <c r="C9" s="22"/>
      <c r="D9" s="7"/>
      <c r="E9" s="5"/>
      <c r="F9" s="97"/>
      <c r="G9" s="7"/>
      <c r="H9" s="334"/>
      <c r="I9" s="326"/>
      <c r="J9" s="337"/>
      <c r="K9" s="6"/>
      <c r="L9" s="5"/>
      <c r="M9" s="22"/>
      <c r="N9" s="99"/>
      <c r="O9" s="3"/>
      <c r="P9" s="22"/>
      <c r="Q9" s="22"/>
      <c r="R9" s="322"/>
      <c r="S9" s="7"/>
      <c r="T9" s="45"/>
      <c r="U9" s="48"/>
      <c r="V9" s="31"/>
      <c r="W9" s="6"/>
      <c r="X9" s="45"/>
      <c r="Y9" s="48"/>
      <c r="Z9" s="7"/>
      <c r="AA9" s="5"/>
    </row>
    <row r="10" spans="1:27" x14ac:dyDescent="0.25">
      <c r="A10" s="112">
        <v>1</v>
      </c>
      <c r="B10" s="122">
        <v>2008</v>
      </c>
      <c r="C10" s="102">
        <f>95.5*C71</f>
        <v>75.613618371699999</v>
      </c>
      <c r="D10" s="62">
        <f>95.5*D71</f>
        <v>75.078616350999994</v>
      </c>
      <c r="E10" s="113">
        <f>94.9*E71</f>
        <v>74.783293930540012</v>
      </c>
      <c r="F10" s="102">
        <f>94.9*F71</f>
        <v>73.565891468160004</v>
      </c>
      <c r="G10" s="62">
        <f>95.5*G71</f>
        <v>75.01963864519999</v>
      </c>
      <c r="H10" s="113">
        <f>95*H71</f>
        <v>76.060848677999999</v>
      </c>
      <c r="I10" s="105"/>
      <c r="J10" s="62">
        <f>95.4*J71</f>
        <v>75.236593057740009</v>
      </c>
      <c r="K10" s="87">
        <f>95.2*K71</f>
        <v>76.527331189679998</v>
      </c>
      <c r="L10" s="63">
        <f>95.6*L71</f>
        <v>74.804381850599995</v>
      </c>
      <c r="M10" s="62">
        <f>95*M71</f>
        <v>74.568288857999988</v>
      </c>
      <c r="N10" s="101">
        <f>95.5*N71</f>
        <v>74.088440730949998</v>
      </c>
      <c r="O10" s="105">
        <f>95.5*O71</f>
        <v>74.088440654549998</v>
      </c>
      <c r="P10" s="102">
        <f>95.5*P71</f>
        <v>75.196850393399998</v>
      </c>
      <c r="Q10" s="63">
        <f>95.8*Q71</f>
        <v>76.395534293219995</v>
      </c>
      <c r="R10" s="34"/>
      <c r="S10" s="36">
        <f>184.1/S71</f>
        <v>81.029929577464799</v>
      </c>
      <c r="T10" s="89"/>
      <c r="U10" s="125"/>
      <c r="V10" s="87">
        <f>304.1/V71</f>
        <v>73.294769824054001</v>
      </c>
      <c r="W10" s="37">
        <f>153.7/W71</f>
        <v>80.513357778941852</v>
      </c>
      <c r="X10" s="89"/>
      <c r="Y10" s="49"/>
      <c r="Z10" s="36">
        <f>287.7/Z71</f>
        <v>67.853773584905653</v>
      </c>
      <c r="AA10" s="83">
        <f>284.3/AA71</f>
        <v>67.609988109393583</v>
      </c>
    </row>
    <row r="11" spans="1:27" x14ac:dyDescent="0.25">
      <c r="A11" s="114">
        <v>2</v>
      </c>
      <c r="B11" s="123">
        <v>2008</v>
      </c>
      <c r="C11" s="92">
        <f>96*C71</f>
        <v>76.009501190400002</v>
      </c>
      <c r="D11" s="34">
        <f>96*D71</f>
        <v>75.471698111999999</v>
      </c>
      <c r="E11" s="108">
        <f>95.3*E71</f>
        <v>75.09850275638</v>
      </c>
      <c r="F11" s="92">
        <f>95.3*F71</f>
        <v>73.875968987519997</v>
      </c>
      <c r="G11" s="34">
        <f>96.2*G71</f>
        <v>75.569520813279993</v>
      </c>
      <c r="H11" s="108">
        <f>95.5*H71</f>
        <v>76.461168934200003</v>
      </c>
      <c r="I11" s="85"/>
      <c r="J11" s="34">
        <f>96.1*J71</f>
        <v>75.788643530909994</v>
      </c>
      <c r="K11" s="88">
        <f>95.9*K71</f>
        <v>77.090032154310009</v>
      </c>
      <c r="L11" s="40">
        <f>96.2*L71</f>
        <v>75.273865418699998</v>
      </c>
      <c r="M11" s="34">
        <f>95.7*M71</f>
        <v>75.117739407480002</v>
      </c>
      <c r="N11" s="32">
        <f>96.1*N71</f>
        <v>74.553917845490005</v>
      </c>
      <c r="O11" s="85">
        <f>96.1*O71</f>
        <v>74.553917768609992</v>
      </c>
      <c r="P11" s="92">
        <f>96.1*P71</f>
        <v>75.66929133827999</v>
      </c>
      <c r="Q11" s="40">
        <f>96.7*Q71</f>
        <v>77.113237642530009</v>
      </c>
      <c r="R11" s="34"/>
      <c r="S11" s="38">
        <f>186.8/S71</f>
        <v>82.218309859154942</v>
      </c>
      <c r="T11" s="90"/>
      <c r="U11" s="126"/>
      <c r="V11" s="88">
        <f>321.6/V71</f>
        <v>77.512653651482296</v>
      </c>
      <c r="W11" s="39">
        <f>161.4/W71</f>
        <v>84.546883184913568</v>
      </c>
      <c r="X11" s="90"/>
      <c r="Y11" s="50"/>
      <c r="Z11" s="38">
        <f>290.5/Z71</f>
        <v>68.514150943396217</v>
      </c>
      <c r="AA11" s="84">
        <f>287.1/AA71</f>
        <v>68.275862068965523</v>
      </c>
    </row>
    <row r="12" spans="1:27" x14ac:dyDescent="0.25">
      <c r="A12" s="114">
        <v>3</v>
      </c>
      <c r="B12" s="123">
        <v>2008</v>
      </c>
      <c r="C12" s="92">
        <f>97.5*C71</f>
        <v>77.197149646500009</v>
      </c>
      <c r="D12" s="34">
        <f>97.3*D71</f>
        <v>76.493710690599997</v>
      </c>
      <c r="E12" s="108">
        <f>96.8*E71</f>
        <v>76.28053585328</v>
      </c>
      <c r="F12" s="92">
        <f>96.4*F71</f>
        <v>74.728682165760006</v>
      </c>
      <c r="G12" s="34">
        <f>97.3*G71</f>
        <v>76.433621363119997</v>
      </c>
      <c r="H12" s="108">
        <f>96.6*H71</f>
        <v>77.341873497839998</v>
      </c>
      <c r="I12" s="85"/>
      <c r="J12" s="34">
        <f>97.7*J71</f>
        <v>77.050473183869997</v>
      </c>
      <c r="K12" s="88">
        <f>97.6*K71</f>
        <v>78.456591639839999</v>
      </c>
      <c r="L12" s="40">
        <f>97.7*L71</f>
        <v>76.447574338950005</v>
      </c>
      <c r="M12" s="34">
        <f>97.1*M71</f>
        <v>76.216640506439987</v>
      </c>
      <c r="N12" s="32">
        <f>97.6*N71</f>
        <v>75.717610631840003</v>
      </c>
      <c r="O12" s="85">
        <f>97.6*O71</f>
        <v>75.717610553759997</v>
      </c>
      <c r="P12" s="92">
        <f>97.1*P71</f>
        <v>76.456692913079991</v>
      </c>
      <c r="Q12" s="40">
        <f>97.8*Q71</f>
        <v>77.990430625019997</v>
      </c>
      <c r="R12" s="34"/>
      <c r="S12" s="38">
        <f>187.8/S71</f>
        <v>82.658450704225359</v>
      </c>
      <c r="T12" s="90"/>
      <c r="U12" s="126"/>
      <c r="V12" s="88">
        <f>367.6/V71</f>
        <v>88.599662569293812</v>
      </c>
      <c r="W12" s="39">
        <f>161.4/W71</f>
        <v>84.546883184913568</v>
      </c>
      <c r="X12" s="90"/>
      <c r="Y12" s="50"/>
      <c r="Z12" s="38">
        <f>321.4/Z71</f>
        <v>75.801886792452819</v>
      </c>
      <c r="AA12" s="84">
        <f>318.3/AA71</f>
        <v>75.695600475624261</v>
      </c>
    </row>
    <row r="13" spans="1:27" x14ac:dyDescent="0.25">
      <c r="A13" s="114">
        <v>4</v>
      </c>
      <c r="B13" s="123">
        <v>2008</v>
      </c>
      <c r="C13" s="92">
        <f>98.3*C71</f>
        <v>77.830562156420001</v>
      </c>
      <c r="D13" s="34">
        <f>97.9*D71</f>
        <v>76.965408803800003</v>
      </c>
      <c r="E13" s="108">
        <f>97.7*E71</f>
        <v>76.989755711420003</v>
      </c>
      <c r="F13" s="92">
        <f>97.5*F71</f>
        <v>75.581395344000001</v>
      </c>
      <c r="G13" s="34">
        <f>98*G71</f>
        <v>76.9835035312</v>
      </c>
      <c r="H13" s="108">
        <f>97.5*H71</f>
        <v>78.062449959000006</v>
      </c>
      <c r="I13" s="85"/>
      <c r="J13" s="34">
        <f>98.3*J71</f>
        <v>77.52365930373</v>
      </c>
      <c r="K13" s="88">
        <f>98.1*K71</f>
        <v>78.858520900289989</v>
      </c>
      <c r="L13" s="40">
        <f>98.2*L71</f>
        <v>76.838810645699994</v>
      </c>
      <c r="M13" s="34">
        <f>97.9*M71</f>
        <v>76.84458399156</v>
      </c>
      <c r="N13" s="32">
        <f>98.2*N71</f>
        <v>76.183087746380011</v>
      </c>
      <c r="O13" s="85">
        <f>98.2*O71</f>
        <v>76.183087667820004</v>
      </c>
      <c r="P13" s="92">
        <f>97.9*P71</f>
        <v>77.086614172919994</v>
      </c>
      <c r="Q13" s="40">
        <f>98.3*Q71</f>
        <v>78.389154707969993</v>
      </c>
      <c r="R13" s="34"/>
      <c r="S13" s="38">
        <f>191/S71</f>
        <v>84.066901408450718</v>
      </c>
      <c r="T13" s="90"/>
      <c r="U13" s="126"/>
      <c r="V13" s="88">
        <f>424.9/V71</f>
        <v>102.41021932995902</v>
      </c>
      <c r="W13" s="39">
        <f>161.4/W71</f>
        <v>84.546883184913568</v>
      </c>
      <c r="X13" s="90"/>
      <c r="Y13" s="50"/>
      <c r="Z13" s="38">
        <f>372.6/Z71</f>
        <v>87.877358490566039</v>
      </c>
      <c r="AA13" s="84">
        <f>369.5/AA71</f>
        <v>87.871581450653977</v>
      </c>
    </row>
    <row r="14" spans="1:27" x14ac:dyDescent="0.25">
      <c r="A14" s="114">
        <v>5</v>
      </c>
      <c r="B14" s="123">
        <v>2008</v>
      </c>
      <c r="C14" s="92">
        <f>98.8*C71</f>
        <v>78.226444975120003</v>
      </c>
      <c r="D14" s="34">
        <f>98.7*D71</f>
        <v>77.594339621399996</v>
      </c>
      <c r="E14" s="108">
        <f>98.5*E71</f>
        <v>77.620173363100008</v>
      </c>
      <c r="F14" s="92">
        <f>98.1*F71</f>
        <v>76.046511623040004</v>
      </c>
      <c r="G14" s="34">
        <f>98.6*G71</f>
        <v>77.454831103839993</v>
      </c>
      <c r="H14" s="108">
        <f>98.3*H71</f>
        <v>78.702962368919998</v>
      </c>
      <c r="I14" s="85"/>
      <c r="J14" s="34">
        <f>98.9*J71</f>
        <v>77.996845423590003</v>
      </c>
      <c r="K14" s="88">
        <f>98.7*K71</f>
        <v>79.340836012829996</v>
      </c>
      <c r="L14" s="40">
        <f>99.1*L71</f>
        <v>77.543035997849998</v>
      </c>
      <c r="M14" s="34">
        <f>98.6*M71</f>
        <v>77.394034541039986</v>
      </c>
      <c r="N14" s="32">
        <f>98.9*N71</f>
        <v>76.726144380010012</v>
      </c>
      <c r="O14" s="85">
        <f>98.9*O71</f>
        <v>76.726144300889999</v>
      </c>
      <c r="P14" s="92">
        <f>98.4*P71</f>
        <v>77.480314960320001</v>
      </c>
      <c r="Q14" s="40">
        <f>99.2*Q71</f>
        <v>79.106858057280007</v>
      </c>
      <c r="R14" s="34"/>
      <c r="S14" s="38">
        <f>199/S71</f>
        <v>87.588028169014095</v>
      </c>
      <c r="T14" s="90"/>
      <c r="U14" s="126"/>
      <c r="V14" s="88">
        <f>471/V71</f>
        <v>113.52133044107013</v>
      </c>
      <c r="W14" s="39">
        <f>168.3/W71</f>
        <v>88.161341016238879</v>
      </c>
      <c r="X14" s="90"/>
      <c r="Y14" s="50"/>
      <c r="Z14" s="38">
        <f>400.4/Z71</f>
        <v>94.433962264150935</v>
      </c>
      <c r="AA14" s="84">
        <f>397.9/AA71</f>
        <v>94.625445897740775</v>
      </c>
    </row>
    <row r="15" spans="1:27" x14ac:dyDescent="0.25">
      <c r="A15" s="114">
        <v>6</v>
      </c>
      <c r="B15" s="123">
        <v>2008</v>
      </c>
      <c r="C15" s="92">
        <f>99.8*C71</f>
        <v>79.018210612520008</v>
      </c>
      <c r="D15" s="34">
        <f>99.9*D71</f>
        <v>78.537735847799993</v>
      </c>
      <c r="E15" s="108">
        <f>100.3*E71</f>
        <v>79.038613079379999</v>
      </c>
      <c r="F15" s="92">
        <f>99.4*F71</f>
        <v>77.05426356096001</v>
      </c>
      <c r="G15" s="34">
        <f>100.1*G71</f>
        <v>78.633150035439996</v>
      </c>
      <c r="H15" s="108">
        <f>100.1*H71</f>
        <v>80.144115291239999</v>
      </c>
      <c r="I15" s="85"/>
      <c r="J15" s="34">
        <f>100.1*J71</f>
        <v>78.943217663309994</v>
      </c>
      <c r="K15" s="88">
        <f>100.4*K71</f>
        <v>80.70739549836</v>
      </c>
      <c r="L15" s="40">
        <f>100.5*L71</f>
        <v>78.63849765674999</v>
      </c>
      <c r="M15" s="34">
        <f>100*M71</f>
        <v>78.492935639999999</v>
      </c>
      <c r="N15" s="32">
        <f>99.8*N71</f>
        <v>77.424360051820003</v>
      </c>
      <c r="O15" s="85">
        <f>99.8*O71</f>
        <v>77.424359971979996</v>
      </c>
      <c r="P15" s="92">
        <f>99.9*P71</f>
        <v>78.661417322519995</v>
      </c>
      <c r="Q15" s="40">
        <f>100.2*Q71</f>
        <v>79.904306223180001</v>
      </c>
      <c r="R15" s="34"/>
      <c r="S15" s="38">
        <f>201.8/S71</f>
        <v>88.820422535211279</v>
      </c>
      <c r="T15" s="90"/>
      <c r="U15" s="126"/>
      <c r="V15" s="88">
        <f>519.9/V71</f>
        <v>125.30730296456977</v>
      </c>
      <c r="W15" s="39">
        <f>168.3/W71</f>
        <v>88.161341016238879</v>
      </c>
      <c r="X15" s="90"/>
      <c r="Y15" s="50"/>
      <c r="Z15" s="38">
        <f>428.5/Z71</f>
        <v>101.06132075471697</v>
      </c>
      <c r="AA15" s="84">
        <f>426.3/AA71</f>
        <v>101.37931034482759</v>
      </c>
    </row>
    <row r="16" spans="1:27" x14ac:dyDescent="0.25">
      <c r="A16" s="114">
        <v>7</v>
      </c>
      <c r="B16" s="123">
        <v>2008</v>
      </c>
      <c r="C16" s="92">
        <f>101.2*C71</f>
        <v>80.126682504880009</v>
      </c>
      <c r="D16" s="34">
        <f>101.2*D71</f>
        <v>79.559748426399992</v>
      </c>
      <c r="E16" s="108">
        <f>101.6*E71</f>
        <v>80.06304176335999</v>
      </c>
      <c r="F16" s="92">
        <f>101.7*F71</f>
        <v>78.837209297279998</v>
      </c>
      <c r="G16" s="34">
        <f>101.2*G71</f>
        <v>79.49725058528</v>
      </c>
      <c r="H16" s="108">
        <f>101.9*H71</f>
        <v>81.585268213559999</v>
      </c>
      <c r="I16" s="85"/>
      <c r="J16" s="34">
        <f>101.3*J71</f>
        <v>79.88958990303</v>
      </c>
      <c r="K16" s="88">
        <f>101.5*K71</f>
        <v>81.591639871349997</v>
      </c>
      <c r="L16" s="40">
        <f>102*L71</f>
        <v>79.812206576999998</v>
      </c>
      <c r="M16" s="34">
        <f>101.1*M71</f>
        <v>79.356357932039984</v>
      </c>
      <c r="N16" s="32">
        <f>101*N71</f>
        <v>78.355314280900004</v>
      </c>
      <c r="O16" s="85">
        <f>101*O71</f>
        <v>78.355314200099997</v>
      </c>
      <c r="P16" s="92">
        <f>101.3*P71</f>
        <v>79.76377952723999</v>
      </c>
      <c r="Q16" s="40">
        <f>101.4*Q71</f>
        <v>80.86124402226001</v>
      </c>
      <c r="R16" s="34"/>
      <c r="S16" s="38">
        <f>203.9/S71</f>
        <v>89.744718309859167</v>
      </c>
      <c r="T16" s="90"/>
      <c r="U16" s="126"/>
      <c r="V16" s="88">
        <f>511.9/V71</f>
        <v>123.37912750060255</v>
      </c>
      <c r="W16" s="39">
        <f>168.3/W71</f>
        <v>88.161341016238879</v>
      </c>
      <c r="X16" s="90"/>
      <c r="Y16" s="50"/>
      <c r="Z16" s="38">
        <f>453.5/Z71</f>
        <v>106.95754716981132</v>
      </c>
      <c r="AA16" s="84">
        <f>451.5/AA71</f>
        <v>107.37217598097503</v>
      </c>
    </row>
    <row r="17" spans="1:27" x14ac:dyDescent="0.25">
      <c r="A17" s="114">
        <v>8</v>
      </c>
      <c r="B17" s="123">
        <v>2008</v>
      </c>
      <c r="C17" s="92">
        <f>101.8*C71</f>
        <v>80.601741887320003</v>
      </c>
      <c r="D17" s="34">
        <f>101.8*D71</f>
        <v>80.031446539599997</v>
      </c>
      <c r="E17" s="108">
        <f>102.4*E71</f>
        <v>80.69345941504001</v>
      </c>
      <c r="F17" s="92">
        <f>102.7*F71</f>
        <v>79.612403095680008</v>
      </c>
      <c r="G17" s="34">
        <f>101.8*G71</f>
        <v>79.968578157919993</v>
      </c>
      <c r="H17" s="108">
        <f>102.5*H71</f>
        <v>82.065652521000004</v>
      </c>
      <c r="I17" s="85"/>
      <c r="J17" s="34">
        <f>101.5*J71</f>
        <v>80.047318609650006</v>
      </c>
      <c r="K17" s="88">
        <f>102.1*K71</f>
        <v>82.07395498388999</v>
      </c>
      <c r="L17" s="40">
        <f>102.3*L71</f>
        <v>80.046948361049999</v>
      </c>
      <c r="M17" s="34">
        <f>102.1*M71</f>
        <v>80.141287288439983</v>
      </c>
      <c r="N17" s="32">
        <f>101.7*N71</f>
        <v>78.898370914530005</v>
      </c>
      <c r="O17" s="85">
        <f>101.7*O71</f>
        <v>78.898370833170006</v>
      </c>
      <c r="P17" s="92">
        <f>101.6*P71</f>
        <v>79.999999999679986</v>
      </c>
      <c r="Q17" s="40">
        <f>101.8*Q71</f>
        <v>81.180223288619999</v>
      </c>
      <c r="R17" s="34"/>
      <c r="S17" s="38">
        <f>217.3/S71</f>
        <v>95.64260563380283</v>
      </c>
      <c r="T17" s="90"/>
      <c r="U17" s="126"/>
      <c r="V17" s="88">
        <f>419.9/V71</f>
        <v>101.2051096649795</v>
      </c>
      <c r="W17" s="39">
        <f>175.4/W71</f>
        <v>91.88056574122578</v>
      </c>
      <c r="X17" s="90"/>
      <c r="Y17" s="50"/>
      <c r="Z17" s="38">
        <f>447.1/Z71</f>
        <v>105.44811320754717</v>
      </c>
      <c r="AA17" s="84">
        <f>444.7/AA71</f>
        <v>105.75505350772889</v>
      </c>
    </row>
    <row r="18" spans="1:27" x14ac:dyDescent="0.25">
      <c r="A18" s="114">
        <v>9</v>
      </c>
      <c r="B18" s="123">
        <v>2008</v>
      </c>
      <c r="C18" s="92">
        <f>102.6*C71</f>
        <v>81.235154397239995</v>
      </c>
      <c r="D18" s="34">
        <f>102.9*D71</f>
        <v>80.896226413799994</v>
      </c>
      <c r="E18" s="108">
        <f>103*E71</f>
        <v>81.166272653800007</v>
      </c>
      <c r="F18" s="92">
        <f>103.1*F71</f>
        <v>79.922480615040001</v>
      </c>
      <c r="G18" s="34">
        <f>102.6*G71</f>
        <v>80.597014921439992</v>
      </c>
      <c r="H18" s="108">
        <f>102.8*H71</f>
        <v>82.305844674719992</v>
      </c>
      <c r="I18" s="85"/>
      <c r="J18" s="34">
        <f>102.5*J71</f>
        <v>80.835962142750006</v>
      </c>
      <c r="K18" s="88">
        <f>102.5*K71</f>
        <v>82.395498392250005</v>
      </c>
      <c r="L18" s="40">
        <f>102*L71</f>
        <v>79.812206576999998</v>
      </c>
      <c r="M18" s="34">
        <f>103*M71</f>
        <v>80.847723709199997</v>
      </c>
      <c r="N18" s="32">
        <f>102.6*N71</f>
        <v>79.596586586339996</v>
      </c>
      <c r="O18" s="85">
        <f>102.6*O71</f>
        <v>79.596586504259989</v>
      </c>
      <c r="P18" s="92">
        <f>102.8*P71</f>
        <v>80.944881889439998</v>
      </c>
      <c r="Q18" s="40">
        <f>102*Q71</f>
        <v>81.3397129218</v>
      </c>
      <c r="R18" s="34"/>
      <c r="S18" s="38">
        <f>218.8/S71</f>
        <v>96.302816901408463</v>
      </c>
      <c r="T18" s="90"/>
      <c r="U18" s="126"/>
      <c r="V18" s="88">
        <f>394.3/V71</f>
        <v>95.034948180284402</v>
      </c>
      <c r="W18" s="39">
        <f>175.4/W71</f>
        <v>91.88056574122578</v>
      </c>
      <c r="X18" s="90"/>
      <c r="Y18" s="50"/>
      <c r="Z18" s="38">
        <f>390/Z71</f>
        <v>91.981132075471692</v>
      </c>
      <c r="AA18" s="84">
        <f>387.1/AA71</f>
        <v>92.057074910820461</v>
      </c>
    </row>
    <row r="19" spans="1:27" x14ac:dyDescent="0.25">
      <c r="A19" s="114">
        <v>10</v>
      </c>
      <c r="B19" s="123">
        <v>2008</v>
      </c>
      <c r="C19" s="92">
        <f>102.9*C71</f>
        <v>81.472684088460014</v>
      </c>
      <c r="D19" s="34">
        <f>103.2*D71</f>
        <v>81.132075470399997</v>
      </c>
      <c r="E19" s="108">
        <f>103.2*E71</f>
        <v>81.323877066720001</v>
      </c>
      <c r="F19" s="92">
        <f>103.6*F71</f>
        <v>80.310077514239993</v>
      </c>
      <c r="G19" s="34">
        <f>102.8*G71</f>
        <v>80.75412411232</v>
      </c>
      <c r="H19" s="108">
        <f>103.2*H71</f>
        <v>82.626100879679996</v>
      </c>
      <c r="I19" s="85"/>
      <c r="J19" s="34">
        <f>102.8*J71</f>
        <v>81.072555202679993</v>
      </c>
      <c r="K19" s="88">
        <f>102.6*K71</f>
        <v>82.475884244339994</v>
      </c>
      <c r="L19" s="40">
        <f>102.4*L71</f>
        <v>80.1251956224</v>
      </c>
      <c r="M19" s="34">
        <f>103.2*M71</f>
        <v>81.004709580479997</v>
      </c>
      <c r="N19" s="32">
        <f>102.8*N71</f>
        <v>79.751745624519998</v>
      </c>
      <c r="O19" s="85">
        <f>102.8*O71</f>
        <v>79.751745542279991</v>
      </c>
      <c r="P19" s="92">
        <f>103.1*P71</f>
        <v>81.181102361879994</v>
      </c>
      <c r="Q19" s="40">
        <f>102.3*Q71</f>
        <v>81.578947371569996</v>
      </c>
      <c r="R19" s="34"/>
      <c r="S19" s="38">
        <f>219.6/S71</f>
        <v>96.654929577464799</v>
      </c>
      <c r="T19" s="90"/>
      <c r="U19" s="126"/>
      <c r="V19" s="88">
        <f>377.4/V71</f>
        <v>90.961677512653651</v>
      </c>
      <c r="W19" s="39">
        <f>175.4/W71</f>
        <v>91.88056574122578</v>
      </c>
      <c r="X19" s="90"/>
      <c r="Y19" s="50"/>
      <c r="Z19" s="38">
        <f>367.8/Z71</f>
        <v>86.745283018867923</v>
      </c>
      <c r="AA19" s="84">
        <f>364.7/AA71</f>
        <v>86.730083234244944</v>
      </c>
    </row>
    <row r="20" spans="1:27" x14ac:dyDescent="0.25">
      <c r="A20" s="114">
        <v>11</v>
      </c>
      <c r="B20" s="123">
        <v>2008</v>
      </c>
      <c r="C20" s="92">
        <f>102.9*C71</f>
        <v>81.472684088460014</v>
      </c>
      <c r="D20" s="34">
        <f>103.2*D71</f>
        <v>81.132075470399997</v>
      </c>
      <c r="E20" s="108">
        <f>103.3*E71</f>
        <v>81.402679273179999</v>
      </c>
      <c r="F20" s="92">
        <f>103.7*F71</f>
        <v>80.387596894080005</v>
      </c>
      <c r="G20" s="34">
        <f>103*G71</f>
        <v>80.911233303199992</v>
      </c>
      <c r="H20" s="108">
        <f>103.2*H71</f>
        <v>82.626100879679996</v>
      </c>
      <c r="I20" s="85"/>
      <c r="J20" s="34">
        <f>102.9*J71</f>
        <v>81.151419555990003</v>
      </c>
      <c r="K20" s="88">
        <f>102.7*K71</f>
        <v>82.556270096429998</v>
      </c>
      <c r="L20" s="40">
        <f>102.3*L71</f>
        <v>80.046948361049999</v>
      </c>
      <c r="M20" s="34">
        <f>103.3*M71</f>
        <v>81.083202516119997</v>
      </c>
      <c r="N20" s="32">
        <f>102.9*N71</f>
        <v>79.829325143610006</v>
      </c>
      <c r="O20" s="85">
        <f>102.9*O71</f>
        <v>79.829325061290007</v>
      </c>
      <c r="P20" s="92">
        <f>103.3*P71</f>
        <v>81.338582676839991</v>
      </c>
      <c r="Q20" s="40">
        <f>102.5*Q71</f>
        <v>81.738437004749997</v>
      </c>
      <c r="R20" s="34"/>
      <c r="S20" s="38">
        <f>219.2/S71</f>
        <v>96.478873239436624</v>
      </c>
      <c r="T20" s="90"/>
      <c r="U20" s="126"/>
      <c r="V20" s="88">
        <f>336.8/V71</f>
        <v>81.176187033020014</v>
      </c>
      <c r="W20" s="39">
        <f>184.8/W71</f>
        <v>96.804609743321109</v>
      </c>
      <c r="X20" s="90"/>
      <c r="Y20" s="50"/>
      <c r="Z20" s="38">
        <f>358.2/Z71</f>
        <v>84.481132075471692</v>
      </c>
      <c r="AA20" s="84">
        <f>355.1/AA71</f>
        <v>84.447086801426877</v>
      </c>
    </row>
    <row r="21" spans="1:27" x14ac:dyDescent="0.25">
      <c r="A21" s="114">
        <v>12</v>
      </c>
      <c r="B21" s="123">
        <v>2008</v>
      </c>
      <c r="C21" s="92">
        <f>102.8*C71</f>
        <v>81.393507524720007</v>
      </c>
      <c r="D21" s="34">
        <f>102.6*D71</f>
        <v>80.660377357199991</v>
      </c>
      <c r="E21" s="108">
        <f>103.2*E71</f>
        <v>81.323877066720001</v>
      </c>
      <c r="F21" s="92">
        <f>103.5*F71</f>
        <v>80.232558134400008</v>
      </c>
      <c r="G21" s="34">
        <f>102.9*G71</f>
        <v>80.832678707759996</v>
      </c>
      <c r="H21" s="108">
        <f>103.3*H71</f>
        <v>82.706164930919996</v>
      </c>
      <c r="I21" s="85"/>
      <c r="J21" s="34">
        <f>102.5*J71</f>
        <v>80.835962142750006</v>
      </c>
      <c r="K21" s="88">
        <f>102.6*K71</f>
        <v>82.475884244339994</v>
      </c>
      <c r="L21" s="40">
        <f>101.8*L71</f>
        <v>79.655712054299997</v>
      </c>
      <c r="M21" s="34">
        <f>103.2*M71</f>
        <v>81.004709580479997</v>
      </c>
      <c r="N21" s="32">
        <f>102.9*N71</f>
        <v>79.829325143610006</v>
      </c>
      <c r="O21" s="85">
        <f>102.9*O71</f>
        <v>79.829325061290007</v>
      </c>
      <c r="P21" s="92">
        <f>103*P71</f>
        <v>81.102362204399995</v>
      </c>
      <c r="Q21" s="40">
        <f>102*Q71</f>
        <v>81.3397129218</v>
      </c>
      <c r="R21" s="34"/>
      <c r="S21" s="38">
        <f>216.6/S71</f>
        <v>95.33450704225352</v>
      </c>
      <c r="T21" s="90"/>
      <c r="U21" s="126"/>
      <c r="V21" s="88">
        <f>274.3/V71</f>
        <v>66.112316220776094</v>
      </c>
      <c r="W21" s="39">
        <f>184.8/W71</f>
        <v>96.804609743321109</v>
      </c>
      <c r="X21" s="90"/>
      <c r="Y21" s="50"/>
      <c r="Z21" s="38">
        <f>326.1/Z71</f>
        <v>76.910377358490564</v>
      </c>
      <c r="AA21" s="84">
        <f>322.7/AA71</f>
        <v>76.741973840665864</v>
      </c>
    </row>
    <row r="22" spans="1:27" x14ac:dyDescent="0.25">
      <c r="A22" s="114">
        <v>1</v>
      </c>
      <c r="B22" s="123">
        <v>2009</v>
      </c>
      <c r="C22" s="92">
        <f>102.9*C71</f>
        <v>81.472684088460014</v>
      </c>
      <c r="D22" s="34">
        <f>102.8*D71</f>
        <v>80.817610061599993</v>
      </c>
      <c r="E22" s="108">
        <f>102.7*E71</f>
        <v>80.929866034420002</v>
      </c>
      <c r="F22" s="92">
        <f>103.6*F71</f>
        <v>80.310077514239993</v>
      </c>
      <c r="G22" s="34">
        <f>103.4*G71</f>
        <v>81.225451684960007</v>
      </c>
      <c r="H22" s="108">
        <f>104.2*H71</f>
        <v>83.426741392080004</v>
      </c>
      <c r="I22" s="85"/>
      <c r="J22" s="34">
        <f>103*J71</f>
        <v>81.230283909299999</v>
      </c>
      <c r="K22" s="88">
        <f>102.8*K71</f>
        <v>82.636655948520001</v>
      </c>
      <c r="L22" s="40">
        <f>101.9*L71</f>
        <v>79.733959315649997</v>
      </c>
      <c r="M22" s="34">
        <f>103.3*M71</f>
        <v>81.083202516119997</v>
      </c>
      <c r="N22" s="32">
        <f>103.2*N71</f>
        <v>80.062063700880003</v>
      </c>
      <c r="O22" s="85">
        <f>103.2*O71</f>
        <v>80.062063618319996</v>
      </c>
      <c r="P22" s="92">
        <f>103.8*P71</f>
        <v>81.732283464239998</v>
      </c>
      <c r="Q22" s="40">
        <f>102*Q71</f>
        <v>81.3397129218</v>
      </c>
      <c r="R22" s="34"/>
      <c r="S22" s="32">
        <f>219.7/S71</f>
        <v>96.698943661971839</v>
      </c>
      <c r="T22" s="91"/>
      <c r="U22" s="127"/>
      <c r="V22" s="88">
        <f>286.5/V71</f>
        <v>69.052783803326108</v>
      </c>
      <c r="W22" s="34">
        <f>184.8/W71</f>
        <v>96.804609743321109</v>
      </c>
      <c r="X22" s="91"/>
      <c r="Y22" s="51"/>
      <c r="Z22" s="32">
        <f>259.4/Z71</f>
        <v>61.179245283018858</v>
      </c>
      <c r="AA22" s="85">
        <f>255.5/AA71</f>
        <v>60.760998810939356</v>
      </c>
    </row>
    <row r="23" spans="1:27" x14ac:dyDescent="0.25">
      <c r="A23" s="114">
        <v>2</v>
      </c>
      <c r="B23" s="123">
        <v>2009</v>
      </c>
      <c r="C23" s="92">
        <f>103.8*C71</f>
        <v>82.185273162119998</v>
      </c>
      <c r="D23" s="34">
        <f>104.1*D71</f>
        <v>81.839622640199991</v>
      </c>
      <c r="E23" s="108">
        <f>104.1*E71</f>
        <v>82.033096924860004</v>
      </c>
      <c r="F23" s="92">
        <f>104.5*F71</f>
        <v>81.007751932800005</v>
      </c>
      <c r="G23" s="34">
        <f>104.4*G71</f>
        <v>82.010997639359999</v>
      </c>
      <c r="H23" s="108">
        <f>105*H71</f>
        <v>84.067253801999996</v>
      </c>
      <c r="I23" s="85"/>
      <c r="J23" s="34">
        <f>104.4*J71</f>
        <v>82.33438485564001</v>
      </c>
      <c r="K23" s="88">
        <f>104.1*K71</f>
        <v>83.681672025689991</v>
      </c>
      <c r="L23" s="40">
        <f>103.3*L71</f>
        <v>80.82942097454999</v>
      </c>
      <c r="M23" s="34">
        <f>104.6*M71</f>
        <v>82.103610679439996</v>
      </c>
      <c r="N23" s="32">
        <f>104.3*N71</f>
        <v>80.915438410869996</v>
      </c>
      <c r="O23" s="85">
        <f>104.3*O71</f>
        <v>80.915438327429996</v>
      </c>
      <c r="P23" s="92">
        <f>105.3*P71</f>
        <v>82.913385826439992</v>
      </c>
      <c r="Q23" s="40">
        <f>103.8*Q71</f>
        <v>82.77511962042</v>
      </c>
      <c r="R23" s="34"/>
      <c r="S23" s="32">
        <f>215.7/S71</f>
        <v>94.938380281690144</v>
      </c>
      <c r="T23" s="91"/>
      <c r="U23" s="127"/>
      <c r="V23" s="88">
        <f>271.3/V71</f>
        <v>65.38925042178839</v>
      </c>
      <c r="W23" s="34">
        <f>193/W71</f>
        <v>101.10005238344682</v>
      </c>
      <c r="X23" s="91"/>
      <c r="Y23" s="51"/>
      <c r="Z23" s="32">
        <f>257.4/Z71</f>
        <v>60.707547169811313</v>
      </c>
      <c r="AA23" s="85">
        <f>253.9/AA71</f>
        <v>60.380499405469678</v>
      </c>
    </row>
    <row r="24" spans="1:27" x14ac:dyDescent="0.25">
      <c r="A24" s="114">
        <v>3</v>
      </c>
      <c r="B24" s="123">
        <v>2009</v>
      </c>
      <c r="C24" s="92">
        <f>105.5*C71</f>
        <v>83.531274745700003</v>
      </c>
      <c r="D24" s="34">
        <f>105.4*D71</f>
        <v>82.861635218800004</v>
      </c>
      <c r="E24" s="108">
        <f>105.4*E71</f>
        <v>83.05752560884001</v>
      </c>
      <c r="F24" s="92">
        <f>106*F71</f>
        <v>82.170542630400007</v>
      </c>
      <c r="G24" s="34">
        <f>105.9*G71</f>
        <v>83.189316570960003</v>
      </c>
      <c r="H24" s="108">
        <f>106.2*H71</f>
        <v>85.028022416880006</v>
      </c>
      <c r="I24" s="85"/>
      <c r="J24" s="34">
        <f>105.8*J71</f>
        <v>83.438485801979994</v>
      </c>
      <c r="K24" s="88">
        <f>105.5*K71</f>
        <v>84.807073954949999</v>
      </c>
      <c r="L24" s="40">
        <f>104.9*L71</f>
        <v>82.081377156149998</v>
      </c>
      <c r="M24" s="34">
        <f>106.5*M71</f>
        <v>83.594976456599994</v>
      </c>
      <c r="N24" s="32">
        <f>105.7*N71</f>
        <v>82.001551678130014</v>
      </c>
      <c r="O24" s="85">
        <f>105.7*O71</f>
        <v>82.001551593569999</v>
      </c>
      <c r="P24" s="92">
        <f>106.6*P71</f>
        <v>83.937007873679988</v>
      </c>
      <c r="Q24" s="40">
        <f>105.3*Q71</f>
        <v>83.971291869270004</v>
      </c>
      <c r="R24" s="34"/>
      <c r="S24" s="32">
        <f>214.8/S71</f>
        <v>94.542253521126767</v>
      </c>
      <c r="T24" s="91"/>
      <c r="U24" s="127"/>
      <c r="V24" s="88">
        <f>253.5/V71</f>
        <v>61.099060014461315</v>
      </c>
      <c r="W24" s="34">
        <f>193/W71</f>
        <v>101.10005238344682</v>
      </c>
      <c r="X24" s="91"/>
      <c r="Y24" s="51"/>
      <c r="Z24" s="32">
        <f>242.4/Z71</f>
        <v>57.169811320754718</v>
      </c>
      <c r="AA24" s="85">
        <f>238.3/AA71</f>
        <v>56.670630202140309</v>
      </c>
    </row>
    <row r="25" spans="1:27" x14ac:dyDescent="0.25">
      <c r="A25" s="114">
        <v>4</v>
      </c>
      <c r="B25" s="123">
        <v>2009</v>
      </c>
      <c r="C25" s="158">
        <f>105.9*C71</f>
        <v>83.847981000660013</v>
      </c>
      <c r="D25" s="34">
        <f>105.9*D71</f>
        <v>83.254716979799994</v>
      </c>
      <c r="E25" s="108">
        <f>106*E71</f>
        <v>83.530338847600007</v>
      </c>
      <c r="F25" s="92">
        <f>106.4*F71</f>
        <v>82.48062014976</v>
      </c>
      <c r="G25" s="34">
        <f>106.4*G71</f>
        <v>83.582089548159999</v>
      </c>
      <c r="H25" s="108">
        <f>106.7*H71</f>
        <v>85.428342673079996</v>
      </c>
      <c r="I25" s="85"/>
      <c r="J25" s="34">
        <f>106.4*J71</f>
        <v>83.911671921840011</v>
      </c>
      <c r="K25" s="88">
        <f>106.1*K71</f>
        <v>85.289389067489992</v>
      </c>
      <c r="L25" s="40">
        <f>105.4*L71</f>
        <v>82.4726134629</v>
      </c>
      <c r="M25" s="34">
        <f>106.6*M71</f>
        <v>83.673469392239994</v>
      </c>
      <c r="N25" s="32">
        <f>106.3*N71</f>
        <v>82.467028792670007</v>
      </c>
      <c r="O25" s="85">
        <f>106.3*O71</f>
        <v>82.467028707629993</v>
      </c>
      <c r="P25" s="92">
        <f>107.1*P71</f>
        <v>84.330708661079996</v>
      </c>
      <c r="Q25" s="40">
        <f>105.5*Q71</f>
        <v>84.130781502450006</v>
      </c>
      <c r="R25" s="34"/>
      <c r="S25" s="32">
        <f>213.3/S71</f>
        <v>93.882042253521135</v>
      </c>
      <c r="T25" s="91"/>
      <c r="U25" s="127"/>
      <c r="V25" s="88">
        <f>250.2/V71</f>
        <v>60.303687635574832</v>
      </c>
      <c r="W25" s="34">
        <f>193/W71</f>
        <v>101.10005238344682</v>
      </c>
      <c r="X25" s="91"/>
      <c r="Y25" s="51"/>
      <c r="Z25" s="32">
        <f>258.2/Z71</f>
        <v>60.896226415094333</v>
      </c>
      <c r="AA25" s="85">
        <f>254.3/AA71</f>
        <v>60.475624256837101</v>
      </c>
    </row>
    <row r="26" spans="1:27" x14ac:dyDescent="0.25">
      <c r="A26" s="114">
        <v>5</v>
      </c>
      <c r="B26" s="123">
        <v>2009</v>
      </c>
      <c r="C26" s="158">
        <f>106.2*C71</f>
        <v>84.085510691880003</v>
      </c>
      <c r="D26" s="34">
        <f>106.2*D71</f>
        <v>83.490566036399997</v>
      </c>
      <c r="E26" s="108">
        <f>106.5*E71</f>
        <v>83.924349879900006</v>
      </c>
      <c r="F26" s="92">
        <f>106.8*F71</f>
        <v>82.790697669120007</v>
      </c>
      <c r="G26" s="34">
        <f>106.9*G71</f>
        <v>83.974862525359995</v>
      </c>
      <c r="H26" s="108">
        <f>107*H71</f>
        <v>85.668534826799998</v>
      </c>
      <c r="I26" s="85"/>
      <c r="J26" s="34">
        <f>106.8*J71</f>
        <v>84.227129335079994</v>
      </c>
      <c r="K26" s="88">
        <f>106.5*K71</f>
        <v>85.610932475849992</v>
      </c>
      <c r="L26" s="40">
        <f>105.6*L71</f>
        <v>82.629107985599987</v>
      </c>
      <c r="M26" s="34">
        <f>107*M71</f>
        <v>83.987441134799994</v>
      </c>
      <c r="N26" s="32">
        <f>106.7*N71</f>
        <v>82.777346869030012</v>
      </c>
      <c r="O26" s="85">
        <f>106.7*O71</f>
        <v>82.777346783669998</v>
      </c>
      <c r="P26" s="92">
        <f>107.8*P71</f>
        <v>84.881889763439986</v>
      </c>
      <c r="Q26" s="40">
        <f>105.8*Q71</f>
        <v>84.370015952220001</v>
      </c>
      <c r="R26" s="34"/>
      <c r="S26" s="32">
        <f>209/S71</f>
        <v>91.989436619718319</v>
      </c>
      <c r="T26" s="91"/>
      <c r="U26" s="127"/>
      <c r="V26" s="88">
        <f>251.1/V71</f>
        <v>60.520607375271148</v>
      </c>
      <c r="W26" s="34">
        <f>189.2/W71</f>
        <v>99.109481403876373</v>
      </c>
      <c r="X26" s="91"/>
      <c r="Y26" s="51"/>
      <c r="Z26" s="32">
        <f>261.4/Z71</f>
        <v>61.65094339622641</v>
      </c>
      <c r="AA26" s="85">
        <f>257.5/AA71</f>
        <v>61.236623067776456</v>
      </c>
    </row>
    <row r="27" spans="1:27" x14ac:dyDescent="0.25">
      <c r="A27" s="114">
        <v>6</v>
      </c>
      <c r="B27" s="123">
        <v>2009</v>
      </c>
      <c r="C27" s="92">
        <f>106.7*C71</f>
        <v>84.481393510580006</v>
      </c>
      <c r="D27" s="34">
        <f>106.4*D71</f>
        <v>83.647798740799999</v>
      </c>
      <c r="E27" s="108">
        <f>106.8*E71</f>
        <v>84.160756499279998</v>
      </c>
      <c r="F27" s="92">
        <f>107.2*F71</f>
        <v>83.10077518848</v>
      </c>
      <c r="G27" s="34">
        <f>107.2*G71</f>
        <v>84.210526311679999</v>
      </c>
      <c r="H27" s="108">
        <f>107.1*H71</f>
        <v>85.748598878039999</v>
      </c>
      <c r="I27" s="85"/>
      <c r="J27" s="34">
        <f>106.9*J71</f>
        <v>84.305993688390004</v>
      </c>
      <c r="K27" s="88">
        <f>107.2*K71</f>
        <v>86.173633440480003</v>
      </c>
      <c r="L27" s="40">
        <f>105.9*L71</f>
        <v>82.863849769650002</v>
      </c>
      <c r="M27" s="34">
        <f>107.1*M71</f>
        <v>84.065934070439994</v>
      </c>
      <c r="N27" s="32">
        <f>107*N71</f>
        <v>83.010085426300009</v>
      </c>
      <c r="O27" s="85">
        <f>107*O71</f>
        <v>83.010085340700002</v>
      </c>
      <c r="P27" s="92">
        <f>108.4*P71</f>
        <v>85.354330708319992</v>
      </c>
      <c r="Q27" s="40">
        <f>106.5*Q71</f>
        <v>84.928229668349999</v>
      </c>
      <c r="R27" s="34"/>
      <c r="S27" s="32">
        <f>208.9/S71</f>
        <v>91.945422535211279</v>
      </c>
      <c r="T27" s="91"/>
      <c r="U27" s="127"/>
      <c r="V27" s="88">
        <f>256.8/V71</f>
        <v>61.894432393347799</v>
      </c>
      <c r="W27" s="34">
        <f>189.2/W71</f>
        <v>99.109481403876373</v>
      </c>
      <c r="X27" s="91"/>
      <c r="Y27" s="51"/>
      <c r="Z27" s="32">
        <f>256.3/Z71</f>
        <v>60.448113207547166</v>
      </c>
      <c r="AA27" s="85">
        <f>253.1/AA71</f>
        <v>60.190249702734839</v>
      </c>
    </row>
    <row r="28" spans="1:27" x14ac:dyDescent="0.25">
      <c r="A28" s="114">
        <v>7</v>
      </c>
      <c r="B28" s="123">
        <v>2009</v>
      </c>
      <c r="C28" s="92">
        <f>107.9*C71</f>
        <v>85.431512275460008</v>
      </c>
      <c r="D28" s="34">
        <f>108.2*D71</f>
        <v>85.062893080400002</v>
      </c>
      <c r="E28" s="108">
        <f>108.1*E71</f>
        <v>85.185185183260003</v>
      </c>
      <c r="F28" s="92">
        <f>108.7*F71</f>
        <v>84.263565886080002</v>
      </c>
      <c r="G28" s="34">
        <f>108*G71</f>
        <v>84.838963075199999</v>
      </c>
      <c r="H28" s="108">
        <f>108*H71</f>
        <v>86.469175339200007</v>
      </c>
      <c r="I28" s="85"/>
      <c r="J28" s="34">
        <f>108.7*J71</f>
        <v>85.725552047969998</v>
      </c>
      <c r="K28" s="88">
        <f>107.9*K71</f>
        <v>86.73633440511</v>
      </c>
      <c r="L28" s="40">
        <f>107.8*L71</f>
        <v>84.350547735299997</v>
      </c>
      <c r="M28" s="34">
        <f>108.3*M71</f>
        <v>85.007849298119993</v>
      </c>
      <c r="N28" s="32">
        <f>108.2*N71</f>
        <v>83.94103965538001</v>
      </c>
      <c r="O28" s="85">
        <f>108.2*O71</f>
        <v>83.941039568820003</v>
      </c>
      <c r="P28" s="92">
        <f>109.6*P71</f>
        <v>86.29921259807999</v>
      </c>
      <c r="Q28" s="40">
        <f>107.5*Q71</f>
        <v>85.725677834250007</v>
      </c>
      <c r="R28" s="34"/>
      <c r="S28" s="32">
        <f>211.3/S71</f>
        <v>93.001760563380302</v>
      </c>
      <c r="T28" s="91"/>
      <c r="U28" s="127"/>
      <c r="V28" s="88">
        <f>266.2/V71</f>
        <v>64.160038563509275</v>
      </c>
      <c r="W28" s="34">
        <f>189.2/W71</f>
        <v>99.109481403876373</v>
      </c>
      <c r="X28" s="91"/>
      <c r="Y28" s="51"/>
      <c r="Z28" s="32">
        <f>272.1/Z71</f>
        <v>64.174528301886795</v>
      </c>
      <c r="AA28" s="85">
        <f>269.1/AA71</f>
        <v>63.995243757431631</v>
      </c>
    </row>
    <row r="29" spans="1:27" x14ac:dyDescent="0.25">
      <c r="A29" s="114">
        <v>8</v>
      </c>
      <c r="B29" s="123">
        <v>2009</v>
      </c>
      <c r="C29" s="92">
        <f>108.2*C71</f>
        <v>85.669041966680012</v>
      </c>
      <c r="D29" s="34">
        <f>108.6*D71</f>
        <v>85.377358489199992</v>
      </c>
      <c r="E29" s="108">
        <f>108.3*E71</f>
        <v>85.342789596179998</v>
      </c>
      <c r="F29" s="92">
        <f>109.2*F71</f>
        <v>84.651162785280007</v>
      </c>
      <c r="G29" s="34">
        <f>108.1*G71</f>
        <v>84.917517670639995</v>
      </c>
      <c r="H29" s="108">
        <f>108.2*H71</f>
        <v>86.629303441680008</v>
      </c>
      <c r="I29" s="85"/>
      <c r="J29" s="34">
        <f>108.9*J71</f>
        <v>85.883280754590004</v>
      </c>
      <c r="K29" s="88">
        <f>108.5*K71</f>
        <v>87.218649517649993</v>
      </c>
      <c r="L29" s="40">
        <f>108.1*L71</f>
        <v>84.585289519349999</v>
      </c>
      <c r="M29" s="34">
        <f>108.7*M71</f>
        <v>85.321821040679993</v>
      </c>
      <c r="N29" s="32">
        <f>108.4*N71</f>
        <v>84.096198693560012</v>
      </c>
      <c r="O29" s="85">
        <f>108.4*O71</f>
        <v>84.096198606840005</v>
      </c>
      <c r="P29" s="92">
        <f>110.2*P71</f>
        <v>86.771653542959996</v>
      </c>
      <c r="Q29" s="40">
        <f>107.6*Q71</f>
        <v>85.805422650840001</v>
      </c>
      <c r="R29" s="34"/>
      <c r="S29" s="32">
        <f>210.1/S71</f>
        <v>92.473591549295776</v>
      </c>
      <c r="T29" s="91"/>
      <c r="U29" s="127"/>
      <c r="V29" s="88">
        <f>262.1/V71</f>
        <v>63.171848638226081</v>
      </c>
      <c r="W29" s="34">
        <f>190.9/W71</f>
        <v>100</v>
      </c>
      <c r="X29" s="91"/>
      <c r="Y29" s="51"/>
      <c r="Z29" s="32">
        <f>264.2/Z71</f>
        <v>62.311320754716974</v>
      </c>
      <c r="AA29" s="85">
        <f>261.1/AA71</f>
        <v>62.092746730083242</v>
      </c>
    </row>
    <row r="30" spans="1:27" x14ac:dyDescent="0.25">
      <c r="A30" s="114">
        <v>9</v>
      </c>
      <c r="B30" s="123">
        <v>2009</v>
      </c>
      <c r="C30" s="92">
        <f>108.8*C71</f>
        <v>86.144101349120007</v>
      </c>
      <c r="D30" s="34">
        <f>108.8*D71</f>
        <v>85.534591193599994</v>
      </c>
      <c r="E30" s="108">
        <f>109*E71</f>
        <v>85.894405041400006</v>
      </c>
      <c r="F30" s="92">
        <f>109.6*F71</f>
        <v>84.96124030464</v>
      </c>
      <c r="G30" s="34">
        <f>108.4*G71</f>
        <v>85.153181456959999</v>
      </c>
      <c r="H30" s="108">
        <f>108.5*H71</f>
        <v>86.869495595399997</v>
      </c>
      <c r="I30" s="85"/>
      <c r="J30" s="34">
        <f>109.4*J71</f>
        <v>86.277602521140011</v>
      </c>
      <c r="K30" s="88">
        <f>108.8*K71</f>
        <v>87.45980707391999</v>
      </c>
      <c r="L30" s="40">
        <f>108.4*L71</f>
        <v>84.8200313034</v>
      </c>
      <c r="M30" s="34">
        <f>108.8*M71</f>
        <v>85.400313976319993</v>
      </c>
      <c r="N30" s="32">
        <f>108.8*N71</f>
        <v>84.406516769920003</v>
      </c>
      <c r="O30" s="85">
        <f>108.8*O71</f>
        <v>84.406516682879996</v>
      </c>
      <c r="P30" s="92">
        <f>110.4*P71</f>
        <v>86.929133857919993</v>
      </c>
      <c r="Q30" s="40">
        <f>108*Q71</f>
        <v>86.124401917200004</v>
      </c>
      <c r="R30" s="34"/>
      <c r="S30" s="32">
        <f>209.8/S71</f>
        <v>92.341549295774655</v>
      </c>
      <c r="T30" s="91"/>
      <c r="U30" s="127"/>
      <c r="V30" s="88">
        <f>272.6/V71</f>
        <v>65.702578934683061</v>
      </c>
      <c r="W30" s="34">
        <f>190.9/W71</f>
        <v>100</v>
      </c>
      <c r="X30" s="91"/>
      <c r="Y30" s="51"/>
      <c r="Z30" s="32">
        <f>277.7/Z71</f>
        <v>65.495283018867923</v>
      </c>
      <c r="AA30" s="85">
        <f>274.7/AA71</f>
        <v>65.326991676575503</v>
      </c>
    </row>
    <row r="31" spans="1:27" x14ac:dyDescent="0.25">
      <c r="A31" s="114">
        <v>10</v>
      </c>
      <c r="B31" s="123">
        <v>2009</v>
      </c>
      <c r="C31" s="92">
        <f>108.9*C71</f>
        <v>86.223277912860013</v>
      </c>
      <c r="D31" s="34">
        <f>108.8*D71</f>
        <v>85.534591193599994</v>
      </c>
      <c r="E31" s="108">
        <f>108.9*E71</f>
        <v>85.815602834940009</v>
      </c>
      <c r="F31" s="92">
        <f>109.7*F71</f>
        <v>85.038759684479999</v>
      </c>
      <c r="G31" s="34">
        <f>108.4*G71</f>
        <v>85.153181456959999</v>
      </c>
      <c r="H31" s="108">
        <f>108.4*H71</f>
        <v>86.78943154416001</v>
      </c>
      <c r="I31" s="85"/>
      <c r="J31" s="34">
        <f>109.3*J71</f>
        <v>86.198738167830001</v>
      </c>
      <c r="K31" s="88">
        <f>108.8*K71</f>
        <v>87.45980707391999</v>
      </c>
      <c r="L31" s="40">
        <f>108.2*L71</f>
        <v>84.663536780699999</v>
      </c>
      <c r="M31" s="34">
        <f>108.7*M71</f>
        <v>85.321821040679993</v>
      </c>
      <c r="N31" s="32">
        <f>108.7*N71</f>
        <v>84.328937250830009</v>
      </c>
      <c r="O31" s="85">
        <f>108.7*O71</f>
        <v>84.328937163869995</v>
      </c>
      <c r="P31" s="92">
        <f>110.4*P71</f>
        <v>86.929133857919993</v>
      </c>
      <c r="Q31" s="40">
        <f>108.1*Q71</f>
        <v>86.204146733789997</v>
      </c>
      <c r="R31" s="34"/>
      <c r="S31" s="32">
        <f>209.5/S71</f>
        <v>92.209507042253534</v>
      </c>
      <c r="T31" s="91"/>
      <c r="U31" s="127"/>
      <c r="V31" s="88">
        <f>257.7/V71</f>
        <v>62.111352133044107</v>
      </c>
      <c r="W31" s="34">
        <f>190.9/W71</f>
        <v>100</v>
      </c>
      <c r="X31" s="91"/>
      <c r="Y31" s="51"/>
      <c r="Z31" s="32">
        <f>265/Z71</f>
        <v>62.5</v>
      </c>
      <c r="AA31" s="85">
        <f>261.9/AA71</f>
        <v>62.282996432818067</v>
      </c>
    </row>
    <row r="32" spans="1:27" x14ac:dyDescent="0.25">
      <c r="A32" s="114">
        <v>11</v>
      </c>
      <c r="B32" s="123">
        <v>2009</v>
      </c>
      <c r="C32" s="92">
        <f>109*C71</f>
        <v>86.302454476600005</v>
      </c>
      <c r="D32" s="34">
        <f>108.8*D71</f>
        <v>85.534591193599994</v>
      </c>
      <c r="E32" s="108">
        <f>108.8*E71</f>
        <v>85.736800628479997</v>
      </c>
      <c r="F32" s="92">
        <f>109.6*F71</f>
        <v>84.96124030464</v>
      </c>
      <c r="G32" s="34">
        <f>108.3*G71</f>
        <v>85.074626861519988</v>
      </c>
      <c r="H32" s="108">
        <f>108.4*H71</f>
        <v>86.78943154416001</v>
      </c>
      <c r="I32" s="85"/>
      <c r="J32" s="34">
        <f>109.4*J71</f>
        <v>86.277602521140011</v>
      </c>
      <c r="K32" s="88">
        <f>108.8*K71</f>
        <v>87.45980707391999</v>
      </c>
      <c r="L32" s="40">
        <f>108.2*L71</f>
        <v>84.663536780699999</v>
      </c>
      <c r="M32" s="34">
        <f>108.6*M71</f>
        <v>85.243328105039993</v>
      </c>
      <c r="N32" s="32">
        <f>108.7*N71</f>
        <v>84.328937250830009</v>
      </c>
      <c r="O32" s="85">
        <f>108.7*O71</f>
        <v>84.328937163869995</v>
      </c>
      <c r="P32" s="92">
        <f>110.4*P71</f>
        <v>86.929133857919993</v>
      </c>
      <c r="Q32" s="40">
        <f>108*Q71</f>
        <v>86.124401917200004</v>
      </c>
      <c r="R32" s="34"/>
      <c r="S32" s="32">
        <f>209.8/S71</f>
        <v>92.341549295774655</v>
      </c>
      <c r="T32" s="91"/>
      <c r="U32" s="127"/>
      <c r="V32" s="88">
        <f>262.2/V71</f>
        <v>63.195950831525664</v>
      </c>
      <c r="W32" s="34">
        <f>188.1/W71</f>
        <v>98.53326348873756</v>
      </c>
      <c r="X32" s="91"/>
      <c r="Y32" s="51"/>
      <c r="Z32" s="32">
        <f>268.9/Z71</f>
        <v>63.419811320754711</v>
      </c>
      <c r="AA32" s="85">
        <f>265.9/AA71</f>
        <v>63.234244946492268</v>
      </c>
    </row>
    <row r="33" spans="1:27" x14ac:dyDescent="0.25">
      <c r="A33" s="114">
        <v>12</v>
      </c>
      <c r="B33" s="123">
        <v>2009</v>
      </c>
      <c r="C33" s="92">
        <f>109.7*C71</f>
        <v>86.856690422780005</v>
      </c>
      <c r="D33" s="34">
        <f>109*D71</f>
        <v>85.691823897999996</v>
      </c>
      <c r="E33" s="108">
        <f>109.1*E71</f>
        <v>85.973207247860003</v>
      </c>
      <c r="F33" s="92">
        <f>109.6*F71</f>
        <v>84.96124030464</v>
      </c>
      <c r="G33" s="34">
        <f>108.4*G71</f>
        <v>85.153181456959999</v>
      </c>
      <c r="H33" s="108">
        <f>108.7*H71</f>
        <v>87.029623697879998</v>
      </c>
      <c r="I33" s="85"/>
      <c r="J33" s="34">
        <f>109.8*J71</f>
        <v>86.593059934379994</v>
      </c>
      <c r="K33" s="88">
        <f>108.5*K71</f>
        <v>87.218649517649993</v>
      </c>
      <c r="L33" s="40">
        <f>108.8*L71</f>
        <v>85.133020348799988</v>
      </c>
      <c r="M33" s="34">
        <f>108.8*M71</f>
        <v>85.400313976319993</v>
      </c>
      <c r="N33" s="32">
        <f>108.9*N71</f>
        <v>84.484096289010012</v>
      </c>
      <c r="O33" s="85">
        <f>108.9*O71</f>
        <v>84.484096201889997</v>
      </c>
      <c r="P33" s="92">
        <f>110.7*P71</f>
        <v>87.165354330360003</v>
      </c>
      <c r="Q33" s="40">
        <f>108.2*Q71</f>
        <v>86.283891550380005</v>
      </c>
      <c r="R33" s="34"/>
      <c r="S33" s="32">
        <f>209.8/S71</f>
        <v>92.341549295774655</v>
      </c>
      <c r="T33" s="91"/>
      <c r="U33" s="127"/>
      <c r="V33" s="88">
        <f>275.4/V71</f>
        <v>66.377440347071584</v>
      </c>
      <c r="W33" s="34">
        <f>188.1/W71</f>
        <v>98.53326348873756</v>
      </c>
      <c r="X33" s="91"/>
      <c r="Y33" s="51"/>
      <c r="Z33" s="32">
        <f>278.9/Z71</f>
        <v>65.778301886792448</v>
      </c>
      <c r="AA33" s="85">
        <f>275.9/AA71</f>
        <v>65.612366230677765</v>
      </c>
    </row>
    <row r="34" spans="1:27" x14ac:dyDescent="0.25">
      <c r="A34" s="114">
        <v>1</v>
      </c>
      <c r="B34" s="123">
        <v>2010</v>
      </c>
      <c r="C34" s="92">
        <f>110*C71</f>
        <v>87.094220114000009</v>
      </c>
      <c r="D34" s="34">
        <f>109.2*D71</f>
        <v>85.849056602399997</v>
      </c>
      <c r="E34" s="108">
        <f>109.2*E71</f>
        <v>86.05200945432</v>
      </c>
      <c r="F34" s="92">
        <f>109.9*F71</f>
        <v>85.193798444160009</v>
      </c>
      <c r="G34" s="34">
        <f>108.9*G71</f>
        <v>85.545954434159995</v>
      </c>
      <c r="H34" s="108">
        <f>109.2*H71</f>
        <v>87.429943954080002</v>
      </c>
      <c r="I34" s="85"/>
      <c r="J34" s="34">
        <f>110.2*J71</f>
        <v>86.908517347620005</v>
      </c>
      <c r="K34" s="88">
        <f>108.8*K71</f>
        <v>87.45980707391999</v>
      </c>
      <c r="L34" s="40">
        <f>109.2*L71</f>
        <v>85.446009394200004</v>
      </c>
      <c r="M34" s="34">
        <f>109.1*M71</f>
        <v>85.635792783239992</v>
      </c>
      <c r="N34" s="32">
        <f>109.2*N71</f>
        <v>84.716834846280008</v>
      </c>
      <c r="O34" s="85">
        <f>109.2*O71</f>
        <v>84.716834758920001</v>
      </c>
      <c r="P34" s="92">
        <f>111.1*P71</f>
        <v>87.480314960279983</v>
      </c>
      <c r="Q34" s="40">
        <f>108.3*Q71</f>
        <v>86.363636366969999</v>
      </c>
      <c r="R34" s="34"/>
      <c r="S34" s="32">
        <f>212.5/S71</f>
        <v>93.529929577464799</v>
      </c>
      <c r="T34" s="91"/>
      <c r="U34" s="127"/>
      <c r="V34" s="88">
        <f>269.1/V71</f>
        <v>64.859002169197396</v>
      </c>
      <c r="W34" s="34">
        <f>188.1/W71</f>
        <v>98.53326348873756</v>
      </c>
      <c r="X34" s="91"/>
      <c r="Y34" s="51"/>
      <c r="Z34" s="32">
        <f>273.3/Z71</f>
        <v>64.45754716981132</v>
      </c>
      <c r="AA34" s="85">
        <f>270.3/AA71</f>
        <v>64.280618311533885</v>
      </c>
    </row>
    <row r="35" spans="1:27" x14ac:dyDescent="0.25">
      <c r="A35" s="114">
        <v>2</v>
      </c>
      <c r="B35" s="123">
        <v>2010</v>
      </c>
      <c r="C35" s="92">
        <f>110.4*C71</f>
        <v>87.410926368960006</v>
      </c>
      <c r="D35" s="34">
        <f>110*D71</f>
        <v>86.477987419999991</v>
      </c>
      <c r="E35" s="108">
        <f>110*E71</f>
        <v>86.682427106000006</v>
      </c>
      <c r="F35" s="92">
        <f>110.2*F71</f>
        <v>85.426356583680004</v>
      </c>
      <c r="G35" s="34">
        <f>109.4*G71</f>
        <v>85.938727411360006</v>
      </c>
      <c r="H35" s="108">
        <f>109.5*H71</f>
        <v>87.670136107800005</v>
      </c>
      <c r="I35" s="85"/>
      <c r="J35" s="34">
        <f>110.9*J71</f>
        <v>87.460567820790004</v>
      </c>
      <c r="K35" s="88">
        <f>109.5*K71</f>
        <v>88.022508038550001</v>
      </c>
      <c r="L35" s="40">
        <f>109.8*L71</f>
        <v>85.915492962299993</v>
      </c>
      <c r="M35" s="34">
        <f>110*M71</f>
        <v>86.342229203999992</v>
      </c>
      <c r="N35" s="32">
        <f>109.9*N71</f>
        <v>85.25989147991001</v>
      </c>
      <c r="O35" s="85">
        <f>109.9*O71</f>
        <v>85.259891391989996</v>
      </c>
      <c r="P35" s="92">
        <f>111.9*P71</f>
        <v>88.110236220120001</v>
      </c>
      <c r="Q35" s="40">
        <f>109.2*Q71</f>
        <v>87.081339716279999</v>
      </c>
      <c r="R35" s="34"/>
      <c r="S35" s="32">
        <f>213/S71</f>
        <v>93.750000000000014</v>
      </c>
      <c r="T35" s="91"/>
      <c r="U35" s="127"/>
      <c r="V35" s="88">
        <f>276.4/V71</f>
        <v>66.618462280067476</v>
      </c>
      <c r="W35" s="34">
        <f>188/W71</f>
        <v>98.480880041906758</v>
      </c>
      <c r="X35" s="91"/>
      <c r="Y35" s="51"/>
      <c r="Z35" s="32">
        <f>277.3/Z71</f>
        <v>65.40094339622641</v>
      </c>
      <c r="AA35" s="85">
        <f>274.3/AA71</f>
        <v>65.231866825208087</v>
      </c>
    </row>
    <row r="36" spans="1:27" x14ac:dyDescent="0.25">
      <c r="A36" s="114">
        <v>3</v>
      </c>
      <c r="B36" s="123">
        <v>2010</v>
      </c>
      <c r="C36" s="158">
        <f>111.7*C71</f>
        <v>88.440221697580014</v>
      </c>
      <c r="D36" s="34">
        <f>111*D71</f>
        <v>87.264150942000001</v>
      </c>
      <c r="E36" s="108">
        <f>111*E71</f>
        <v>87.470449170600006</v>
      </c>
      <c r="F36" s="92">
        <f>110.8*F71</f>
        <v>85.891472862719993</v>
      </c>
      <c r="G36" s="34">
        <f>110.4*G71</f>
        <v>86.724273365759998</v>
      </c>
      <c r="H36" s="108">
        <f>110.4*H71</f>
        <v>88.390712568959998</v>
      </c>
      <c r="I36" s="85"/>
      <c r="J36" s="34">
        <f>111.9*J71</f>
        <v>88.249211353890004</v>
      </c>
      <c r="K36" s="88">
        <f>110.5*K71</f>
        <v>88.826366559449994</v>
      </c>
      <c r="L36" s="40">
        <f>110.9*L71</f>
        <v>86.776212837149998</v>
      </c>
      <c r="M36" s="34">
        <f>110.7*M71</f>
        <v>86.891679753479991</v>
      </c>
      <c r="N36" s="32">
        <f>110.9*N71</f>
        <v>86.035686670810009</v>
      </c>
      <c r="O36" s="85">
        <f>110.9*O71</f>
        <v>86.035686582090008</v>
      </c>
      <c r="P36" s="92">
        <f>112.7*P71</f>
        <v>88.74015747995999</v>
      </c>
      <c r="Q36" s="40">
        <f>109.9*Q71</f>
        <v>87.639553432410011</v>
      </c>
      <c r="R36" s="34"/>
      <c r="S36" s="32">
        <f>213/S71</f>
        <v>93.750000000000014</v>
      </c>
      <c r="T36" s="91"/>
      <c r="U36" s="127"/>
      <c r="V36" s="88">
        <f>280.4/V71</f>
        <v>67.582550012051087</v>
      </c>
      <c r="W36" s="34">
        <f>188.9/W71</f>
        <v>98.952331063383966</v>
      </c>
      <c r="X36" s="91"/>
      <c r="Y36" s="51"/>
      <c r="Z36" s="32">
        <f>278.9/Z71</f>
        <v>65.778301886792448</v>
      </c>
      <c r="AA36" s="85">
        <f>275.9/AA71</f>
        <v>65.612366230677765</v>
      </c>
    </row>
    <row r="37" spans="1:27" x14ac:dyDescent="0.25">
      <c r="A37" s="114">
        <v>4</v>
      </c>
      <c r="B37" s="123">
        <v>2010</v>
      </c>
      <c r="C37" s="92">
        <f>112*C71</f>
        <v>88.677751388800004</v>
      </c>
      <c r="D37" s="34">
        <f>111.2*D71</f>
        <v>87.421383646400002</v>
      </c>
      <c r="E37" s="108">
        <f>111.4*E71</f>
        <v>87.785657996440008</v>
      </c>
      <c r="F37" s="92">
        <f>111.3*F71</f>
        <v>86.279069761919999</v>
      </c>
      <c r="G37" s="34">
        <f>110.3*G71</f>
        <v>86.645718770319988</v>
      </c>
      <c r="H37" s="108">
        <f>110.5*H71</f>
        <v>88.470776620199999</v>
      </c>
      <c r="I37" s="85"/>
      <c r="J37" s="34">
        <f>112.1*J71</f>
        <v>88.406940060509996</v>
      </c>
      <c r="K37" s="88">
        <f>110.7*K71</f>
        <v>88.987138263630001</v>
      </c>
      <c r="L37" s="40">
        <f>111.1*L71</f>
        <v>86.932707359849985</v>
      </c>
      <c r="M37" s="34">
        <f>110.9*M71</f>
        <v>87.048665624760005</v>
      </c>
      <c r="N37" s="32">
        <f>111.4*N71</f>
        <v>86.423584266260008</v>
      </c>
      <c r="O37" s="85">
        <f>111.4*O71</f>
        <v>86.42358417714</v>
      </c>
      <c r="P37" s="92">
        <f>112.8*P71</f>
        <v>88.818897637439989</v>
      </c>
      <c r="Q37" s="40">
        <f>109.9*Q71</f>
        <v>87.639553432410011</v>
      </c>
      <c r="R37" s="34"/>
      <c r="S37" s="32">
        <f>212.8/S71</f>
        <v>93.661971830985934</v>
      </c>
      <c r="T37" s="91"/>
      <c r="U37" s="127"/>
      <c r="V37" s="88">
        <f>296.5/V71</f>
        <v>71.463003133285127</v>
      </c>
      <c r="W37" s="34">
        <f>188.9/W71</f>
        <v>98.952331063383966</v>
      </c>
      <c r="X37" s="91"/>
      <c r="Y37" s="51"/>
      <c r="Z37" s="32">
        <f>298.3/Z71</f>
        <v>70.353773584905653</v>
      </c>
      <c r="AA37" s="85">
        <f>295.5/AA71</f>
        <v>70.273483947681328</v>
      </c>
    </row>
    <row r="38" spans="1:27" x14ac:dyDescent="0.25">
      <c r="A38" s="114">
        <v>5</v>
      </c>
      <c r="B38" s="123">
        <v>2010</v>
      </c>
      <c r="C38" s="92">
        <f>112.1*C71</f>
        <v>88.756927952539996</v>
      </c>
      <c r="D38" s="34">
        <f>111.4*D71</f>
        <v>87.578616350800004</v>
      </c>
      <c r="E38" s="108">
        <f>111.3*E71</f>
        <v>87.706855789979997</v>
      </c>
      <c r="F38" s="92">
        <f>111.5*F71</f>
        <v>86.43410852160001</v>
      </c>
      <c r="G38" s="34">
        <f>110.7*G71</f>
        <v>86.959937152080002</v>
      </c>
      <c r="H38" s="108">
        <f>110.7*H71</f>
        <v>88.63090472268</v>
      </c>
      <c r="I38" s="85"/>
      <c r="J38" s="34">
        <f>112.2*J71</f>
        <v>88.485804413820006</v>
      </c>
      <c r="K38" s="88">
        <f>110.8*K71</f>
        <v>89.067524115719991</v>
      </c>
      <c r="L38" s="40">
        <f>111.2*L71</f>
        <v>87.0109546212</v>
      </c>
      <c r="M38" s="34">
        <f>111.2*M71</f>
        <v>87.284144431679991</v>
      </c>
      <c r="N38" s="32">
        <f>111.4*N71</f>
        <v>86.423584266260008</v>
      </c>
      <c r="O38" s="85">
        <f>111.4*O71</f>
        <v>86.42358417714</v>
      </c>
      <c r="P38" s="92">
        <f>113*P71</f>
        <v>88.9763779524</v>
      </c>
      <c r="Q38" s="40">
        <f>110.3*Q71</f>
        <v>87.95853269877</v>
      </c>
      <c r="R38" s="34"/>
      <c r="S38" s="32">
        <f>215.4/S71</f>
        <v>94.806338028169023</v>
      </c>
      <c r="T38" s="91"/>
      <c r="U38" s="127"/>
      <c r="V38" s="88">
        <f>304.4/V71</f>
        <v>73.367076403952751</v>
      </c>
      <c r="W38" s="34">
        <f>187.6/W71</f>
        <v>98.271346254583548</v>
      </c>
      <c r="X38" s="91"/>
      <c r="Y38" s="51"/>
      <c r="Z38" s="32">
        <f>309.8/Z71</f>
        <v>73.066037735849051</v>
      </c>
      <c r="AA38" s="85">
        <f>306.7/AA71</f>
        <v>72.936979785969086</v>
      </c>
    </row>
    <row r="39" spans="1:27" x14ac:dyDescent="0.25">
      <c r="A39" s="114">
        <v>6</v>
      </c>
      <c r="B39" s="123">
        <v>2010</v>
      </c>
      <c r="C39" s="92">
        <f>112*C71</f>
        <v>88.677751388800004</v>
      </c>
      <c r="D39" s="34">
        <f>111.7*D71</f>
        <v>87.814465407399993</v>
      </c>
      <c r="E39" s="108">
        <f>111.4*E71</f>
        <v>87.785657996440008</v>
      </c>
      <c r="F39" s="92">
        <f>111.1*F71</f>
        <v>86.124031002240002</v>
      </c>
      <c r="G39" s="34">
        <f>110.9*G71</f>
        <v>87.117046342959995</v>
      </c>
      <c r="H39" s="108">
        <f>110.7*H71</f>
        <v>88.63090472268</v>
      </c>
      <c r="I39" s="85"/>
      <c r="J39" s="34">
        <f>112.5*J71</f>
        <v>88.722397473750007</v>
      </c>
      <c r="K39" s="88">
        <f>111*K71</f>
        <v>89.228295819899998</v>
      </c>
      <c r="L39" s="40">
        <f>110.9*L71</f>
        <v>86.776212837149998</v>
      </c>
      <c r="M39" s="34">
        <f>111.1*M71</f>
        <v>87.205651496039991</v>
      </c>
      <c r="N39" s="32">
        <f>111.5*N71</f>
        <v>86.501163785350002</v>
      </c>
      <c r="O39" s="85">
        <f>111.5*O71</f>
        <v>86.501163696150002</v>
      </c>
      <c r="P39" s="92">
        <f>113.2*P71</f>
        <v>89.133858267359997</v>
      </c>
      <c r="Q39" s="40">
        <f>110.4*Q71</f>
        <v>88.038277515360008</v>
      </c>
      <c r="R39" s="34"/>
      <c r="S39" s="32">
        <f>216.7/S71</f>
        <v>95.37852112676056</v>
      </c>
      <c r="T39" s="91"/>
      <c r="U39" s="127"/>
      <c r="V39" s="88">
        <f>300.5/V71</f>
        <v>72.427090865268738</v>
      </c>
      <c r="W39" s="34">
        <f>187.4/W71</f>
        <v>98.166579360921943</v>
      </c>
      <c r="X39" s="91"/>
      <c r="Y39" s="51"/>
      <c r="Z39" s="32">
        <f>303.9/Z71</f>
        <v>71.674528301886781</v>
      </c>
      <c r="AA39" s="85">
        <f>301.1/AA71</f>
        <v>71.605231866825207</v>
      </c>
    </row>
    <row r="40" spans="1:27" x14ac:dyDescent="0.25">
      <c r="A40" s="114">
        <v>7</v>
      </c>
      <c r="B40" s="123">
        <v>2010</v>
      </c>
      <c r="C40" s="92">
        <f>112.5*C71</f>
        <v>89.073634207500007</v>
      </c>
      <c r="D40" s="34">
        <f>112.5*D71</f>
        <v>88.443396225000001</v>
      </c>
      <c r="E40" s="108">
        <f>112*E71</f>
        <v>88.258471235200005</v>
      </c>
      <c r="F40" s="92">
        <f>112.7*F71</f>
        <v>87.364341079680003</v>
      </c>
      <c r="G40" s="34">
        <f>111.9*G71</f>
        <v>87.902592297360002</v>
      </c>
      <c r="H40" s="108">
        <f>110.9*H71</f>
        <v>88.791032825160002</v>
      </c>
      <c r="I40" s="85"/>
      <c r="J40" s="34">
        <f>113.2*J71</f>
        <v>89.274447946920006</v>
      </c>
      <c r="K40" s="88">
        <f>111.5*K71</f>
        <v>89.630225080350002</v>
      </c>
      <c r="L40" s="40">
        <f>112.2*L71</f>
        <v>87.793427234700005</v>
      </c>
      <c r="M40" s="34">
        <f>111.6*M71</f>
        <v>87.598116174239991</v>
      </c>
      <c r="N40" s="32">
        <f>112.5*N71</f>
        <v>87.27695897625</v>
      </c>
      <c r="O40" s="85">
        <f>112.5*O71</f>
        <v>87.27695888625</v>
      </c>
      <c r="P40" s="92">
        <f>113.2*P71</f>
        <v>89.133858267359997</v>
      </c>
      <c r="Q40" s="40">
        <f>110.9*Q71</f>
        <v>88.437001598310005</v>
      </c>
      <c r="R40" s="34"/>
      <c r="S40" s="32">
        <f>214.1/S71</f>
        <v>94.234154929577471</v>
      </c>
      <c r="T40" s="91"/>
      <c r="U40" s="127"/>
      <c r="V40" s="88">
        <f>296/V71</f>
        <v>71.342492166787181</v>
      </c>
      <c r="W40" s="34">
        <f>187.2/W71</f>
        <v>98.061812467260339</v>
      </c>
      <c r="X40" s="91"/>
      <c r="Y40" s="51"/>
      <c r="Z40" s="32">
        <f>297.9/Z71</f>
        <v>70.25943396226414</v>
      </c>
      <c r="AA40" s="85">
        <f>295.1/AA71</f>
        <v>70.178359096313912</v>
      </c>
    </row>
    <row r="41" spans="1:27" x14ac:dyDescent="0.25">
      <c r="A41" s="114">
        <v>8</v>
      </c>
      <c r="B41" s="123">
        <v>2010</v>
      </c>
      <c r="C41" s="92">
        <f>112.5*C71</f>
        <v>89.073634207500007</v>
      </c>
      <c r="D41" s="34">
        <f>112.4*D71</f>
        <v>88.3647798728</v>
      </c>
      <c r="E41" s="108">
        <f>112*E71</f>
        <v>88.258471235200005</v>
      </c>
      <c r="F41" s="92">
        <f>112.8*F71</f>
        <v>87.441860459520001</v>
      </c>
      <c r="G41" s="34">
        <f>112.1*G71</f>
        <v>88.059701488239995</v>
      </c>
      <c r="H41" s="108">
        <f>110.9*H71</f>
        <v>88.791032825160002</v>
      </c>
      <c r="I41" s="85"/>
      <c r="J41" s="34">
        <f>113.1*J71</f>
        <v>89.195583593609996</v>
      </c>
      <c r="K41" s="88">
        <f>111.7*K71</f>
        <v>89.790996784529995</v>
      </c>
      <c r="L41" s="40">
        <f>112.1*L71</f>
        <v>87.71517997334999</v>
      </c>
      <c r="M41" s="34">
        <f>111.7*M71</f>
        <v>87.67660910987999</v>
      </c>
      <c r="N41" s="32">
        <f>112.7*N71</f>
        <v>87.432118014430003</v>
      </c>
      <c r="O41" s="85">
        <f>112.7*O71</f>
        <v>87.432117924270003</v>
      </c>
      <c r="P41" s="92">
        <f>114*P71</f>
        <v>89.763779527200001</v>
      </c>
      <c r="Q41" s="40">
        <f>111*Q71</f>
        <v>88.516746414899998</v>
      </c>
      <c r="R41" s="34"/>
      <c r="S41" s="32">
        <f>212.6/S71</f>
        <v>93.573943661971839</v>
      </c>
      <c r="T41" s="91"/>
      <c r="U41" s="127"/>
      <c r="V41" s="88">
        <f>293.1/V71</f>
        <v>70.64352856109906</v>
      </c>
      <c r="W41" s="34">
        <f>186.7/W71</f>
        <v>97.799895233106326</v>
      </c>
      <c r="X41" s="91"/>
      <c r="Y41" s="51"/>
      <c r="Z41" s="32">
        <f>292.7/Z71</f>
        <v>69.033018867924525</v>
      </c>
      <c r="AA41" s="85">
        <f>289.9/AA71</f>
        <v>68.941736028537449</v>
      </c>
    </row>
    <row r="42" spans="1:27" x14ac:dyDescent="0.25">
      <c r="A42" s="114">
        <v>9</v>
      </c>
      <c r="B42" s="123">
        <v>2010</v>
      </c>
      <c r="C42" s="92">
        <f>112.6*C71</f>
        <v>89.152810771239999</v>
      </c>
      <c r="D42" s="34">
        <f>112.7*D71</f>
        <v>88.600628929400003</v>
      </c>
      <c r="E42" s="108">
        <f>112*E71</f>
        <v>88.258471235200005</v>
      </c>
      <c r="F42" s="92">
        <f>113*F71</f>
        <v>87.596899219199997</v>
      </c>
      <c r="G42" s="34">
        <f>112.7*G71</f>
        <v>88.531029060880002</v>
      </c>
      <c r="H42" s="108">
        <f>110.7*H71</f>
        <v>88.63090472268</v>
      </c>
      <c r="I42" s="85"/>
      <c r="J42" s="34">
        <f>113.5*J71</f>
        <v>89.511041006850007</v>
      </c>
      <c r="K42" s="88">
        <f>111.7*K71</f>
        <v>89.790996784529995</v>
      </c>
      <c r="L42" s="40">
        <f>112*L71</f>
        <v>87.636932712000004</v>
      </c>
      <c r="M42" s="34">
        <f>111.8*M71</f>
        <v>87.75510204551999</v>
      </c>
      <c r="N42" s="32">
        <f>113.3*N71</f>
        <v>87.897595128969996</v>
      </c>
      <c r="O42" s="85">
        <f>113.3*O71</f>
        <v>87.897595038329996</v>
      </c>
      <c r="P42" s="92">
        <f>114.2*P71</f>
        <v>89.921259842159998</v>
      </c>
      <c r="Q42" s="40">
        <f>111.4*Q71</f>
        <v>88.835725681260001</v>
      </c>
      <c r="R42" s="34"/>
      <c r="S42" s="32">
        <f>212.6/S71</f>
        <v>93.573943661971839</v>
      </c>
      <c r="T42" s="91"/>
      <c r="U42" s="127"/>
      <c r="V42" s="88">
        <f>290.6/V71</f>
        <v>70.040973728609302</v>
      </c>
      <c r="W42" s="34">
        <f>186.7/W71</f>
        <v>97.799895233106326</v>
      </c>
      <c r="X42" s="91"/>
      <c r="Y42" s="51"/>
      <c r="Z42" s="32">
        <f>292.7/Z71</f>
        <v>69.033018867924525</v>
      </c>
      <c r="AA42" s="85">
        <f>289.9/AA71</f>
        <v>68.941736028537449</v>
      </c>
    </row>
    <row r="43" spans="1:27" x14ac:dyDescent="0.25">
      <c r="A43" s="114">
        <v>10</v>
      </c>
      <c r="B43" s="123">
        <v>2010</v>
      </c>
      <c r="C43" s="92">
        <f>112.8*C71</f>
        <v>89.311163898720011</v>
      </c>
      <c r="D43" s="34">
        <f>112.8*D71</f>
        <v>88.679245281599989</v>
      </c>
      <c r="E43" s="108">
        <f>112.3*E71</f>
        <v>88.494877854579997</v>
      </c>
      <c r="F43" s="92">
        <f>113.3*F71</f>
        <v>87.829457358720006</v>
      </c>
      <c r="G43" s="34">
        <f>112.6*G71</f>
        <v>88.452474465439991</v>
      </c>
      <c r="H43" s="108">
        <f>110.9*H71</f>
        <v>88.791032825160002</v>
      </c>
      <c r="I43" s="85"/>
      <c r="J43" s="34">
        <f>113.6*J71</f>
        <v>89.589905360160003</v>
      </c>
      <c r="K43" s="88">
        <f>111.9*K71</f>
        <v>89.951768488710002</v>
      </c>
      <c r="L43" s="40">
        <f>112.3*L71</f>
        <v>87.871674496049991</v>
      </c>
      <c r="M43" s="34">
        <f>111.9*M71</f>
        <v>87.833594981160005</v>
      </c>
      <c r="N43" s="32">
        <f>113.5*N71</f>
        <v>88.052754167149999</v>
      </c>
      <c r="O43" s="85">
        <f>113.5*O71</f>
        <v>88.052754076349999</v>
      </c>
      <c r="P43" s="92">
        <f>114.8*P71</f>
        <v>90.39370078703999</v>
      </c>
      <c r="Q43" s="40">
        <f>111.9*Q71</f>
        <v>89.234449764209998</v>
      </c>
      <c r="R43" s="34"/>
      <c r="S43" s="32">
        <f>213.7/S71</f>
        <v>94.058098591549296</v>
      </c>
      <c r="T43" s="91">
        <f>248.8/T71</f>
        <v>86.089965397923876</v>
      </c>
      <c r="U43" s="127">
        <f>264.6/U71</f>
        <v>82.173913043478265</v>
      </c>
      <c r="V43" s="88">
        <f>291.3/V71</f>
        <v>70.209689081706443</v>
      </c>
      <c r="W43" s="34">
        <f>186.8/W71</f>
        <v>97.852278679937143</v>
      </c>
      <c r="X43" s="91">
        <f>205.1/X71</f>
        <v>93.397085610200349</v>
      </c>
      <c r="Y43" s="51">
        <f>189.4/Y71</f>
        <v>95.08032128514057</v>
      </c>
      <c r="Z43" s="32">
        <f>291.6/Z71</f>
        <v>68.773584905660385</v>
      </c>
      <c r="AA43" s="85">
        <f>288.7/AA71</f>
        <v>68.656361474435187</v>
      </c>
    </row>
    <row r="44" spans="1:27" x14ac:dyDescent="0.25">
      <c r="A44" s="114">
        <v>11</v>
      </c>
      <c r="B44" s="123">
        <v>2010</v>
      </c>
      <c r="C44" s="92">
        <f>112.9*C71</f>
        <v>89.390340462460017</v>
      </c>
      <c r="D44" s="34">
        <f>113.1*D71</f>
        <v>88.915094338199992</v>
      </c>
      <c r="E44" s="108">
        <f>112.3*E71</f>
        <v>88.494877854579997</v>
      </c>
      <c r="F44" s="92">
        <f>113.3*F71</f>
        <v>87.829457358720006</v>
      </c>
      <c r="G44" s="34">
        <f>112.8*G71</f>
        <v>88.609583656319998</v>
      </c>
      <c r="H44" s="108">
        <f>111*H71</f>
        <v>88.871096876400003</v>
      </c>
      <c r="I44" s="85"/>
      <c r="J44" s="34">
        <f>113.9*J71</f>
        <v>89.826498420090005</v>
      </c>
      <c r="K44" s="88">
        <f>112.1*K71</f>
        <v>90.112540192889995</v>
      </c>
      <c r="L44" s="40">
        <f>112.5*L71</f>
        <v>88.028169018749992</v>
      </c>
      <c r="M44" s="34">
        <f>112.2*M71</f>
        <v>88.06907378807999</v>
      </c>
      <c r="N44" s="32">
        <f>113.6*N71</f>
        <v>88.130333686240007</v>
      </c>
      <c r="O44" s="85">
        <f>113.6*O71</f>
        <v>88.13033359536</v>
      </c>
      <c r="P44" s="92">
        <f>114.6*P71</f>
        <v>90.236220472079992</v>
      </c>
      <c r="Q44" s="40">
        <f>112.1*Q71</f>
        <v>89.39393939739</v>
      </c>
      <c r="R44" s="34"/>
      <c r="S44" s="32">
        <f>212.9/S71</f>
        <v>93.705985915492974</v>
      </c>
      <c r="T44" s="91">
        <f>248.7/T71</f>
        <v>86.055363321799305</v>
      </c>
      <c r="U44" s="127">
        <f>264.7/U71</f>
        <v>82.204968944099377</v>
      </c>
      <c r="V44" s="88">
        <f>299/V71</f>
        <v>72.065557965774886</v>
      </c>
      <c r="W44" s="34">
        <f>187.5/W71</f>
        <v>98.218962807752746</v>
      </c>
      <c r="X44" s="91">
        <f>205.4/X71</f>
        <v>93.533697632058278</v>
      </c>
      <c r="Y44" s="51">
        <f>190.1/Y71</f>
        <v>95.431726907630519</v>
      </c>
      <c r="Z44" s="32">
        <f>301.5/Z71</f>
        <v>71.10849056603773</v>
      </c>
      <c r="AA44" s="85">
        <f>298.7/AA71</f>
        <v>71.034482758620683</v>
      </c>
    </row>
    <row r="45" spans="1:27" x14ac:dyDescent="0.25">
      <c r="A45" s="114">
        <v>12</v>
      </c>
      <c r="B45" s="123">
        <v>2010</v>
      </c>
      <c r="C45" s="92">
        <f>113.2*C71</f>
        <v>89.627870153680007</v>
      </c>
      <c r="D45" s="34">
        <f>113.2*D71</f>
        <v>88.993710690399993</v>
      </c>
      <c r="E45" s="108">
        <f>112.5*E71</f>
        <v>88.652482267500005</v>
      </c>
      <c r="F45" s="92">
        <f>113.3*F71</f>
        <v>87.829457358720006</v>
      </c>
      <c r="G45" s="34">
        <f>113.1*G71</f>
        <v>88.845247442639987</v>
      </c>
      <c r="H45" s="108">
        <f>111.2*H71</f>
        <v>89.031224978880005</v>
      </c>
      <c r="I45" s="85"/>
      <c r="J45" s="34">
        <f>114*J71</f>
        <v>89.9053627734</v>
      </c>
      <c r="K45" s="88">
        <f>112.3*K71</f>
        <v>90.273311897070002</v>
      </c>
      <c r="L45" s="40">
        <f>113*L71</f>
        <v>88.419405325499994</v>
      </c>
      <c r="M45" s="34">
        <f>112.2*M71</f>
        <v>88.06907378807999</v>
      </c>
      <c r="N45" s="32">
        <f>113.8*N71</f>
        <v>88.285492724419996</v>
      </c>
      <c r="O45" s="85">
        <f>113.8*O71</f>
        <v>88.285492633379988</v>
      </c>
      <c r="P45" s="92">
        <f>114.6*P71</f>
        <v>90.236220472079992</v>
      </c>
      <c r="Q45" s="40">
        <f>112.1*Q71</f>
        <v>89.39393939739</v>
      </c>
      <c r="R45" s="34"/>
      <c r="S45" s="32">
        <f>213.1/S71</f>
        <v>93.794014084507054</v>
      </c>
      <c r="T45" s="91">
        <f>248.5/T71</f>
        <v>85.986159169550163</v>
      </c>
      <c r="U45" s="127">
        <f>266.2/U71</f>
        <v>82.670807453416145</v>
      </c>
      <c r="V45" s="88">
        <f>309.4/V71</f>
        <v>74.572186068932268</v>
      </c>
      <c r="W45" s="34">
        <f>185.8/W71</f>
        <v>97.328444211629133</v>
      </c>
      <c r="X45" s="91">
        <f>201.5/X71</f>
        <v>91.757741347905281</v>
      </c>
      <c r="Y45" s="51">
        <f>189.2/Y71</f>
        <v>94.97991967871485</v>
      </c>
      <c r="Z45" s="32">
        <f>301.5/Z71</f>
        <v>71.10849056603773</v>
      </c>
      <c r="AA45" s="85">
        <f>298.7/AA71</f>
        <v>71.034482758620683</v>
      </c>
    </row>
    <row r="46" spans="1:27" x14ac:dyDescent="0.25">
      <c r="A46" s="114">
        <v>1</v>
      </c>
      <c r="B46" s="123">
        <v>2011</v>
      </c>
      <c r="C46" s="92">
        <f>113.7*C71</f>
        <v>90.023752972380009</v>
      </c>
      <c r="D46" s="34">
        <f>113.8*D71</f>
        <v>89.465408803599985</v>
      </c>
      <c r="E46" s="108">
        <f>112.9*E71</f>
        <v>88.967691093340008</v>
      </c>
      <c r="F46" s="92">
        <f>114.2*F71</f>
        <v>88.527131777280005</v>
      </c>
      <c r="G46" s="34">
        <f>113.7*G71</f>
        <v>89.316575015279994</v>
      </c>
      <c r="H46" s="108">
        <f>111.7*H71</f>
        <v>89.431545235080009</v>
      </c>
      <c r="I46" s="85"/>
      <c r="J46" s="34">
        <f>114.1*J71</f>
        <v>89.984227126709996</v>
      </c>
      <c r="K46" s="88">
        <f>112.7*K71</f>
        <v>90.594855305430002</v>
      </c>
      <c r="L46" s="40">
        <f>113.6*L71</f>
        <v>88.888888893599997</v>
      </c>
      <c r="M46" s="34">
        <f>113*M71</f>
        <v>88.69701727319999</v>
      </c>
      <c r="N46" s="32">
        <f>114.6*N71</f>
        <v>88.906128877140006</v>
      </c>
      <c r="O46" s="85">
        <f>114.6*O71</f>
        <v>88.906128785459998</v>
      </c>
      <c r="P46" s="92">
        <f>115.3*P71</f>
        <v>90.787401574439997</v>
      </c>
      <c r="Q46" s="40">
        <f>113*Q71</f>
        <v>90.111642746699999</v>
      </c>
      <c r="R46" s="34"/>
      <c r="S46" s="32">
        <f>215.4/S71</f>
        <v>94.806338028169023</v>
      </c>
      <c r="T46" s="91">
        <f>250.3/T71</f>
        <v>86.608996539792386</v>
      </c>
      <c r="U46" s="127">
        <f>266.7/U71</f>
        <v>82.826086956521735</v>
      </c>
      <c r="V46" s="88">
        <f>321/V71</f>
        <v>77.368040491684738</v>
      </c>
      <c r="W46" s="34">
        <f>184.2/W71</f>
        <v>96.490309062336294</v>
      </c>
      <c r="X46" s="91">
        <f>201.9/X71</f>
        <v>91.939890710382514</v>
      </c>
      <c r="Y46" s="51">
        <f>189/Y71</f>
        <v>94.879518072289159</v>
      </c>
      <c r="Z46" s="32">
        <f>311/Z71</f>
        <v>73.349056603773576</v>
      </c>
      <c r="AA46" s="85">
        <f>307.9/AA71</f>
        <v>73.222354340071334</v>
      </c>
    </row>
    <row r="47" spans="1:27" x14ac:dyDescent="0.25">
      <c r="A47" s="114">
        <v>2</v>
      </c>
      <c r="B47" s="123">
        <v>2011</v>
      </c>
      <c r="C47" s="92">
        <f>114.5*C71</f>
        <v>90.657165482300002</v>
      </c>
      <c r="D47" s="34">
        <f>114.7*D71</f>
        <v>90.172955973399993</v>
      </c>
      <c r="E47" s="108">
        <f>113.8*E71</f>
        <v>89.676910951479996</v>
      </c>
      <c r="F47" s="92">
        <f>114.9*F71</f>
        <v>89.069767436160006</v>
      </c>
      <c r="G47" s="34">
        <f>114.5*G71</f>
        <v>89.945011778799994</v>
      </c>
      <c r="H47" s="108">
        <f>112.4*H71</f>
        <v>89.99199359376</v>
      </c>
      <c r="I47" s="85"/>
      <c r="J47" s="34">
        <f>114.8*J71</f>
        <v>90.536277599879995</v>
      </c>
      <c r="K47" s="88">
        <f>113.4*K71</f>
        <v>91.157556270059999</v>
      </c>
      <c r="L47" s="40">
        <f>114.3*L71</f>
        <v>89.436619723050001</v>
      </c>
      <c r="M47" s="34">
        <f>113.9*M71</f>
        <v>89.403453693960003</v>
      </c>
      <c r="N47" s="32">
        <f>115.4*N71</f>
        <v>89.526765029860016</v>
      </c>
      <c r="O47" s="85">
        <f>115.4*O71</f>
        <v>89.526764937540008</v>
      </c>
      <c r="P47" s="92">
        <f>116.1*P71</f>
        <v>91.417322834279986</v>
      </c>
      <c r="Q47" s="40">
        <f>113.8*Q71</f>
        <v>90.749601279419991</v>
      </c>
      <c r="R47" s="34"/>
      <c r="S47" s="32">
        <f>215.9/S71</f>
        <v>95.026408450704238</v>
      </c>
      <c r="T47" s="91">
        <f>257.9/T71</f>
        <v>89.238754325259507</v>
      </c>
      <c r="U47" s="127">
        <f>272.2/U71</f>
        <v>84.534161490683218</v>
      </c>
      <c r="V47" s="88">
        <f>350.9/V71</f>
        <v>84.574596288262228</v>
      </c>
      <c r="W47" s="34">
        <f>186.6/W71</f>
        <v>97.747511786275538</v>
      </c>
      <c r="X47" s="91">
        <f>202.7/X71</f>
        <v>92.304189435336966</v>
      </c>
      <c r="Y47" s="51">
        <f>190.4/Y71</f>
        <v>95.582329317269085</v>
      </c>
      <c r="Z47" s="32">
        <f>322.9/Z71</f>
        <v>76.155660377358487</v>
      </c>
      <c r="AA47" s="85">
        <f>319.9/AA71</f>
        <v>76.076099881093924</v>
      </c>
    </row>
    <row r="48" spans="1:27" x14ac:dyDescent="0.25">
      <c r="A48" s="114">
        <v>3</v>
      </c>
      <c r="B48" s="123">
        <v>2011</v>
      </c>
      <c r="C48" s="92">
        <f>116*C71</f>
        <v>91.844813938400009</v>
      </c>
      <c r="D48" s="34">
        <f>116.1*D71</f>
        <v>91.273584904199993</v>
      </c>
      <c r="E48" s="108">
        <f>115*E71</f>
        <v>90.622537429000005</v>
      </c>
      <c r="F48" s="92">
        <f>116.4*F71</f>
        <v>90.232558133760008</v>
      </c>
      <c r="G48" s="34">
        <f>115.5*G71</f>
        <v>90.730557733200001</v>
      </c>
      <c r="H48" s="108">
        <f>113.5*H71</f>
        <v>90.872698157399995</v>
      </c>
      <c r="I48" s="85"/>
      <c r="J48" s="34">
        <f>116.1*J71</f>
        <v>91.561514192909996</v>
      </c>
      <c r="K48" s="88">
        <f>114.6*K71</f>
        <v>92.122186495139999</v>
      </c>
      <c r="L48" s="40">
        <f>115.9*L71</f>
        <v>90.688575904649994</v>
      </c>
      <c r="M48" s="34">
        <f>115.2*M71</f>
        <v>90.423861857280002</v>
      </c>
      <c r="N48" s="32">
        <f>116.9*N71</f>
        <v>90.690457816210014</v>
      </c>
      <c r="O48" s="85">
        <f>116.9*O71</f>
        <v>90.690457722689999</v>
      </c>
      <c r="P48" s="92">
        <f>116.9*P71</f>
        <v>92.047244094120003</v>
      </c>
      <c r="Q48" s="40">
        <f>115.4*Q71</f>
        <v>92.025518344860004</v>
      </c>
      <c r="R48" s="34"/>
      <c r="S48" s="32">
        <f>217.4/S71</f>
        <v>95.686619718309871</v>
      </c>
      <c r="T48" s="91">
        <f>261.5/T71</f>
        <v>90.484429065743939</v>
      </c>
      <c r="U48" s="127">
        <f>283.1/U71</f>
        <v>87.9192546583851</v>
      </c>
      <c r="V48" s="88">
        <f>374.2/V71</f>
        <v>90.190407327066765</v>
      </c>
      <c r="W48" s="34">
        <f>187.3/W71</f>
        <v>98.114195914091155</v>
      </c>
      <c r="X48" s="91">
        <f>204/X71</f>
        <v>92.896174863387969</v>
      </c>
      <c r="Y48" s="51">
        <f>191.3/Y71</f>
        <v>96.03413654618474</v>
      </c>
      <c r="Z48" s="32">
        <f>348.3/Z71</f>
        <v>82.146226415094333</v>
      </c>
      <c r="AA48" s="85">
        <f>345.5/AA71</f>
        <v>82.164090368608797</v>
      </c>
    </row>
    <row r="49" spans="1:27" x14ac:dyDescent="0.25">
      <c r="A49" s="114">
        <v>4</v>
      </c>
      <c r="B49" s="123">
        <v>2011</v>
      </c>
      <c r="C49" s="92">
        <f>116.3*C71</f>
        <v>92.082343629619999</v>
      </c>
      <c r="D49" s="34">
        <f>116.4*D71</f>
        <v>91.509433960799996</v>
      </c>
      <c r="E49" s="108">
        <f>115.3*E71</f>
        <v>90.858944048379996</v>
      </c>
      <c r="F49" s="92">
        <f>116.7*F71</f>
        <v>90.465116273280003</v>
      </c>
      <c r="G49" s="34">
        <f>116.1*G71</f>
        <v>91.201885305839994</v>
      </c>
      <c r="H49" s="108">
        <f>114*H71</f>
        <v>91.273018413599999</v>
      </c>
      <c r="I49" s="85"/>
      <c r="J49" s="34">
        <f>116.6*J71</f>
        <v>91.955835959460003</v>
      </c>
      <c r="K49" s="88">
        <f>114.8*K71</f>
        <v>92.282958199319992</v>
      </c>
      <c r="L49" s="40">
        <f>116.4*L71</f>
        <v>91.079812211399997</v>
      </c>
      <c r="M49" s="34">
        <f>115.6*M71</f>
        <v>90.737833599839988</v>
      </c>
      <c r="N49" s="32">
        <f>117.4*N71</f>
        <v>91.078355411660013</v>
      </c>
      <c r="O49" s="85">
        <f>117.4*O71</f>
        <v>91.078355317740005</v>
      </c>
      <c r="P49" s="92">
        <f>117.1*P71</f>
        <v>92.204724409079986</v>
      </c>
      <c r="Q49" s="40">
        <f>115.6*Q71</f>
        <v>92.185007978039991</v>
      </c>
      <c r="R49" s="34"/>
      <c r="S49" s="32">
        <f>216/S71</f>
        <v>95.070422535211279</v>
      </c>
      <c r="T49" s="91">
        <f>261.6/T71</f>
        <v>90.51903114186851</v>
      </c>
      <c r="U49" s="127">
        <f>292.7/U71</f>
        <v>90.90062111801241</v>
      </c>
      <c r="V49" s="88">
        <f>396.8/V71</f>
        <v>95.637503012774161</v>
      </c>
      <c r="W49" s="34">
        <f>187.5/W71</f>
        <v>98.218962807752746</v>
      </c>
      <c r="X49" s="91">
        <f>204/X71</f>
        <v>92.896174863387969</v>
      </c>
      <c r="Y49" s="51">
        <f>191.8/Y71</f>
        <v>96.285140562248998</v>
      </c>
      <c r="Z49" s="32">
        <f>376.1/Z71</f>
        <v>88.702830188679243</v>
      </c>
      <c r="AA49" s="85">
        <f>371.1/AA71</f>
        <v>88.252080856123669</v>
      </c>
    </row>
    <row r="50" spans="1:27" x14ac:dyDescent="0.25">
      <c r="A50" s="114">
        <v>5</v>
      </c>
      <c r="B50" s="123">
        <v>2011</v>
      </c>
      <c r="C50" s="92">
        <f>116.9*C71</f>
        <v>92.557403012060007</v>
      </c>
      <c r="D50" s="34">
        <f>116.9*D71</f>
        <v>91.9025157218</v>
      </c>
      <c r="E50" s="108">
        <f>115.9*E71</f>
        <v>91.331757287140007</v>
      </c>
      <c r="F50" s="92">
        <f>117.1*F71</f>
        <v>90.775193792639996</v>
      </c>
      <c r="G50" s="34">
        <f>116.5*G71</f>
        <v>91.516103687599994</v>
      </c>
      <c r="H50" s="108">
        <f>114.7*H71</f>
        <v>91.833466772280005</v>
      </c>
      <c r="I50" s="85"/>
      <c r="J50" s="34">
        <f>117.2*J71</f>
        <v>92.429022079320006</v>
      </c>
      <c r="K50" s="88">
        <f>115.4*K71</f>
        <v>92.76527331186</v>
      </c>
      <c r="L50" s="40">
        <f>117*L71</f>
        <v>91.5492957795</v>
      </c>
      <c r="M50" s="34">
        <f>116.1*M71</f>
        <v>91.130298278039987</v>
      </c>
      <c r="N50" s="96">
        <f>117.8*N71</f>
        <v>91.388673488020004</v>
      </c>
      <c r="O50" s="116">
        <f>117.8*O71</f>
        <v>91.388673393779996</v>
      </c>
      <c r="P50" s="92">
        <f>117.7*P71</f>
        <v>92.677165353959992</v>
      </c>
      <c r="Q50" s="40">
        <f>116.3*Q71</f>
        <v>92.743221694170003</v>
      </c>
      <c r="R50" s="34"/>
      <c r="S50" s="32">
        <f>215.7/S71</f>
        <v>94.938380281690144</v>
      </c>
      <c r="T50" s="91">
        <f>261.3/T71</f>
        <v>90.415224913494811</v>
      </c>
      <c r="U50" s="127">
        <f>294/U71</f>
        <v>91.304347826086953</v>
      </c>
      <c r="V50" s="88">
        <f>392.3/V71</f>
        <v>94.552904314292604</v>
      </c>
      <c r="W50" s="34">
        <f>187.5/W71</f>
        <v>98.218962807752746</v>
      </c>
      <c r="X50" s="91">
        <f>205.5/X71</f>
        <v>93.579234972677583</v>
      </c>
      <c r="Y50" s="51">
        <f>193.3/Y71</f>
        <v>97.03815261044177</v>
      </c>
      <c r="Z50" s="32">
        <f>382.4/Z71</f>
        <v>90.188679245283012</v>
      </c>
      <c r="AA50" s="85">
        <f>377.5/AA71</f>
        <v>89.77407847800238</v>
      </c>
    </row>
    <row r="51" spans="1:27" x14ac:dyDescent="0.25">
      <c r="A51" s="114">
        <v>6</v>
      </c>
      <c r="B51" s="123">
        <v>2011</v>
      </c>
      <c r="C51" s="92">
        <f>117.3*C71</f>
        <v>92.874109267020003</v>
      </c>
      <c r="D51" s="34">
        <f>117.1*D71</f>
        <v>92.059748426199988</v>
      </c>
      <c r="E51" s="108">
        <f>116.6*E71</f>
        <v>91.883372732360002</v>
      </c>
      <c r="F51" s="92">
        <f>117.4*F71</f>
        <v>91.007751932160005</v>
      </c>
      <c r="G51" s="34">
        <f>117.2*G71</f>
        <v>92.065985855679997</v>
      </c>
      <c r="H51" s="108">
        <f>115.3*H71</f>
        <v>92.313851079719996</v>
      </c>
      <c r="I51" s="85"/>
      <c r="J51" s="34">
        <f>117.5*J71</f>
        <v>92.665615139250008</v>
      </c>
      <c r="K51" s="88">
        <f>116*K71</f>
        <v>93.247588424399993</v>
      </c>
      <c r="L51" s="40">
        <f>117.8*L71</f>
        <v>92.175273870299989</v>
      </c>
      <c r="M51" s="34">
        <f>116.9*M71</f>
        <v>91.758241763160001</v>
      </c>
      <c r="N51" s="96">
        <f>118.2*N71</f>
        <v>91.698991564380009</v>
      </c>
      <c r="O51" s="116">
        <f>118.2*O71</f>
        <v>91.698991469820001</v>
      </c>
      <c r="P51" s="92">
        <f>117.8*P71</f>
        <v>92.755905511439991</v>
      </c>
      <c r="Q51" s="40">
        <f>116.6*Q71</f>
        <v>92.982456143939999</v>
      </c>
      <c r="R51" s="34"/>
      <c r="S51" s="32">
        <f>216.1/S71</f>
        <v>95.114436619718319</v>
      </c>
      <c r="T51" s="91">
        <f>265.2/T71</f>
        <v>91.764705882352928</v>
      </c>
      <c r="U51" s="127">
        <f>294.4/U71</f>
        <v>91.428571428571416</v>
      </c>
      <c r="V51" s="88">
        <f>380.9/V71</f>
        <v>91.805254278139302</v>
      </c>
      <c r="W51" s="34">
        <f>188.8/W71</f>
        <v>98.899947616553177</v>
      </c>
      <c r="X51" s="91">
        <f>205.5/X71</f>
        <v>93.579234972677583</v>
      </c>
      <c r="Y51" s="51">
        <f>194/Y71</f>
        <v>97.389558232931734</v>
      </c>
      <c r="Z51" s="32">
        <f>367.3/Z71</f>
        <v>86.627358490566039</v>
      </c>
      <c r="AA51" s="85">
        <f>362.3/AA71</f>
        <v>86.159334126040434</v>
      </c>
    </row>
    <row r="52" spans="1:27" x14ac:dyDescent="0.25">
      <c r="A52" s="114">
        <v>7</v>
      </c>
      <c r="B52" s="123">
        <v>2011</v>
      </c>
      <c r="C52" s="92">
        <f>118.1*C71</f>
        <v>93.507521776939996</v>
      </c>
      <c r="D52" s="34">
        <f>118.4*D71</f>
        <v>93.081761004800001</v>
      </c>
      <c r="E52" s="108">
        <f>117.5*E71</f>
        <v>92.592592590500004</v>
      </c>
      <c r="F52" s="92">
        <f>119.9*F71</f>
        <v>92.945736428160004</v>
      </c>
      <c r="G52" s="34">
        <f>118.2*G71</f>
        <v>92.851531810080004</v>
      </c>
      <c r="H52" s="108">
        <f>116.2*H71</f>
        <v>93.034427540880003</v>
      </c>
      <c r="I52" s="85"/>
      <c r="J52" s="34">
        <f>118.4*J71</f>
        <v>93.375394319040012</v>
      </c>
      <c r="K52" s="88">
        <f>116.9*K71</f>
        <v>93.971061093209997</v>
      </c>
      <c r="L52" s="40">
        <f>118.9*L71</f>
        <v>93.035993745149995</v>
      </c>
      <c r="M52" s="34">
        <f>117.8*M71</f>
        <v>92.464678183919986</v>
      </c>
      <c r="N52" s="96">
        <f>119.9*N71</f>
        <v>93.017843388910009</v>
      </c>
      <c r="O52" s="116">
        <f>119.9*O71</f>
        <v>93.017843292990008</v>
      </c>
      <c r="P52" s="92">
        <f>119*P71</f>
        <v>93.700787401199989</v>
      </c>
      <c r="Q52" s="40">
        <f>117.1*Q71</f>
        <v>93.381180226889995</v>
      </c>
      <c r="R52" s="34"/>
      <c r="S52" s="32">
        <f>219/S71</f>
        <v>96.390845070422543</v>
      </c>
      <c r="T52" s="91">
        <f>267.7/T71</f>
        <v>92.62975778546712</v>
      </c>
      <c r="U52" s="127">
        <f>296.2/U71</f>
        <v>91.987577639751549</v>
      </c>
      <c r="V52" s="88">
        <f>378.3/V71</f>
        <v>91.178597252349959</v>
      </c>
      <c r="W52" s="34">
        <f>189.2/W71</f>
        <v>99.109481403876373</v>
      </c>
      <c r="X52" s="91">
        <f>210.1/X71</f>
        <v>95.673952641165741</v>
      </c>
      <c r="Y52" s="51">
        <f>193.9/Y71</f>
        <v>97.339357429718874</v>
      </c>
      <c r="Z52" s="32">
        <f>363/Z71</f>
        <v>85.613207547169807</v>
      </c>
      <c r="AA52" s="85">
        <f>357.9/AA71</f>
        <v>85.112960760998803</v>
      </c>
    </row>
    <row r="53" spans="1:27" x14ac:dyDescent="0.25">
      <c r="A53" s="114">
        <v>8</v>
      </c>
      <c r="B53" s="123">
        <v>2011</v>
      </c>
      <c r="C53" s="92">
        <f>118.4*C71</f>
        <v>93.745051468160014</v>
      </c>
      <c r="D53" s="34">
        <f>118.6*D71</f>
        <v>93.238993709199988</v>
      </c>
      <c r="E53" s="108">
        <f>117.7*E71</f>
        <v>92.750197003419999</v>
      </c>
      <c r="F53" s="92">
        <f>120.3*F71</f>
        <v>93.255813947519997</v>
      </c>
      <c r="G53" s="34">
        <f>118.4*G71</f>
        <v>93.008641000959997</v>
      </c>
      <c r="H53" s="108">
        <f>116.5*H71</f>
        <v>93.274619694600005</v>
      </c>
      <c r="I53" s="85"/>
      <c r="J53" s="34">
        <f>118.7*J71</f>
        <v>93.611987378969999</v>
      </c>
      <c r="K53" s="88">
        <f>117*K71</f>
        <v>94.0514469453</v>
      </c>
      <c r="L53" s="40">
        <f>119.1*L71</f>
        <v>93.192488267849996</v>
      </c>
      <c r="M53" s="34">
        <f>118.2*M71</f>
        <v>92.77864992648</v>
      </c>
      <c r="N53" s="96">
        <f>120.2*N71</f>
        <v>93.250581946180006</v>
      </c>
      <c r="O53" s="116">
        <f>120.2*O71</f>
        <v>93.250581850019998</v>
      </c>
      <c r="P53" s="92">
        <f>119.1*P71</f>
        <v>93.779527558679987</v>
      </c>
      <c r="Q53" s="40">
        <f>117.6*Q71</f>
        <v>93.779904309839992</v>
      </c>
      <c r="R53" s="34"/>
      <c r="S53" s="32">
        <f>219.7/S71</f>
        <v>96.698943661971839</v>
      </c>
      <c r="T53" s="91">
        <f>268.8/T71</f>
        <v>93.010380622837374</v>
      </c>
      <c r="U53" s="127">
        <f>296.9/U71</f>
        <v>92.204968944099363</v>
      </c>
      <c r="V53" s="88">
        <f>377.7/V71</f>
        <v>91.033984092552416</v>
      </c>
      <c r="W53" s="34">
        <f>189.3/W71</f>
        <v>99.161864850707175</v>
      </c>
      <c r="X53" s="91">
        <f>214.1/X71</f>
        <v>97.495446265938057</v>
      </c>
      <c r="Y53" s="51">
        <f>194.3/Y71</f>
        <v>97.540160642570285</v>
      </c>
      <c r="Z53" s="32">
        <f>368.9/Z71</f>
        <v>87.004716981132063</v>
      </c>
      <c r="AA53" s="86">
        <f>363.9/AA71</f>
        <v>86.539833531510098</v>
      </c>
    </row>
    <row r="54" spans="1:27" x14ac:dyDescent="0.25">
      <c r="A54" s="114">
        <v>9</v>
      </c>
      <c r="B54" s="123">
        <v>2011</v>
      </c>
      <c r="C54" s="92">
        <f>118.9*C71</f>
        <v>94.140934286860016</v>
      </c>
      <c r="D54" s="34">
        <f>119.1*D71</f>
        <v>93.632075470199993</v>
      </c>
      <c r="E54" s="108">
        <f>118.1*E71</f>
        <v>93.065405829260001</v>
      </c>
      <c r="F54" s="92">
        <f>120.8*F71</f>
        <v>93.643410846720002</v>
      </c>
      <c r="G54" s="34">
        <f>118.7*G71</f>
        <v>93.244304787280001</v>
      </c>
      <c r="H54" s="108">
        <f>116.8*H71</f>
        <v>93.514811848319994</v>
      </c>
      <c r="I54" s="85"/>
      <c r="J54" s="34">
        <f>119.1*J71</f>
        <v>93.927444792209997</v>
      </c>
      <c r="K54" s="88">
        <f>117.1*K71</f>
        <v>94.13183279738999</v>
      </c>
      <c r="L54" s="40">
        <f>119.5*L71</f>
        <v>93.505477313249997</v>
      </c>
      <c r="M54" s="34">
        <f>118.4*M71</f>
        <v>92.93563579776</v>
      </c>
      <c r="N54" s="96">
        <f>120.8*N71</f>
        <v>93.716059060719999</v>
      </c>
      <c r="O54" s="116">
        <f>120.8*O71</f>
        <v>93.716058964079991</v>
      </c>
      <c r="P54" s="92">
        <f>119.7*P71</f>
        <v>94.251968503559993</v>
      </c>
      <c r="Q54" s="40">
        <f>118*Q71</f>
        <v>94.098883576199995</v>
      </c>
      <c r="R54" s="34"/>
      <c r="S54" s="32">
        <f>220.2/S71</f>
        <v>96.91901408450704</v>
      </c>
      <c r="T54" s="91">
        <f>272.6/T71</f>
        <v>94.325259515570934</v>
      </c>
      <c r="U54" s="127">
        <f>294.9/U71</f>
        <v>91.583850931677006</v>
      </c>
      <c r="V54" s="88">
        <f>377.7/V71</f>
        <v>91.033984092552416</v>
      </c>
      <c r="W54" s="34">
        <f>189.1/W71</f>
        <v>99.057097957045571</v>
      </c>
      <c r="X54" s="91">
        <f>213.8/X71</f>
        <v>97.358834244080143</v>
      </c>
      <c r="Y54" s="51">
        <f>194.3/Y71</f>
        <v>97.540160642570285</v>
      </c>
      <c r="Z54" s="32">
        <f>368.9/Z71</f>
        <v>87.004716981132063</v>
      </c>
      <c r="AA54" s="86">
        <f>363.9/AA71</f>
        <v>86.539833531510098</v>
      </c>
    </row>
    <row r="55" spans="1:27" x14ac:dyDescent="0.25">
      <c r="A55" s="114">
        <v>10</v>
      </c>
      <c r="B55" s="123">
        <v>2011</v>
      </c>
      <c r="C55" s="92">
        <f>119.4*C71</f>
        <v>94.536817105560004</v>
      </c>
      <c r="D55" s="34">
        <f>119.7*D71</f>
        <v>94.103773583399999</v>
      </c>
      <c r="E55" s="108">
        <f>118.9*E71</f>
        <v>93.695823480940007</v>
      </c>
      <c r="F55" s="92">
        <f>121.7*F71</f>
        <v>94.34108526528</v>
      </c>
      <c r="G55" s="34">
        <f>119.4*G71</f>
        <v>93.794186955360004</v>
      </c>
      <c r="H55" s="108">
        <f>117.7*H71</f>
        <v>94.235388309480001</v>
      </c>
      <c r="I55" s="85"/>
      <c r="J55" s="34">
        <f>119.7*J71</f>
        <v>94.40063091207</v>
      </c>
      <c r="K55" s="88">
        <f>117.8*K71</f>
        <v>94.694533762020001</v>
      </c>
      <c r="L55" s="40">
        <f>120.2*L71</f>
        <v>94.053208142700001</v>
      </c>
      <c r="M55" s="34">
        <f>119.3*M71</f>
        <v>93.642072218519985</v>
      </c>
      <c r="N55" s="96">
        <f>121.5*N71</f>
        <v>94.259115694350001</v>
      </c>
      <c r="O55" s="116">
        <f>121.5*O71</f>
        <v>94.25911559715</v>
      </c>
      <c r="P55" s="92">
        <f>120.4*P71</f>
        <v>94.803149605919998</v>
      </c>
      <c r="Q55" s="40">
        <f>118.8*Q71</f>
        <v>94.736842108920001</v>
      </c>
      <c r="R55" s="34"/>
      <c r="S55" s="32">
        <f>221.6/S71</f>
        <v>97.535211267605646</v>
      </c>
      <c r="T55" s="91">
        <f>276.9/T71</f>
        <v>95.813148788927322</v>
      </c>
      <c r="U55" s="127">
        <f>296.3/U71</f>
        <v>92.018633540372676</v>
      </c>
      <c r="V55" s="88">
        <f>392.4/V71</f>
        <v>94.577006507592188</v>
      </c>
      <c r="W55" s="34">
        <f>187.6/W71</f>
        <v>98.271346254583548</v>
      </c>
      <c r="X55" s="91">
        <f>213.2/X71</f>
        <v>97.085610200364286</v>
      </c>
      <c r="Y55" s="51">
        <f>193.9/Y71</f>
        <v>97.339357429718874</v>
      </c>
      <c r="Z55" s="32">
        <f>382.8/Z71</f>
        <v>90.283018867924525</v>
      </c>
      <c r="AA55" s="85">
        <f>377.9/AA71</f>
        <v>89.869203329369796</v>
      </c>
    </row>
    <row r="56" spans="1:27" x14ac:dyDescent="0.25">
      <c r="A56" s="114">
        <v>11</v>
      </c>
      <c r="B56" s="123">
        <v>2011</v>
      </c>
      <c r="C56" s="92">
        <f>119.5*C71</f>
        <v>94.615993669300011</v>
      </c>
      <c r="D56" s="34">
        <f>120.1*D71</f>
        <v>94.418238992199989</v>
      </c>
      <c r="E56" s="108">
        <f>119.2*E71</f>
        <v>93.932230100319998</v>
      </c>
      <c r="F56" s="92">
        <f>122.1*F71</f>
        <v>94.651162784639993</v>
      </c>
      <c r="G56" s="34">
        <f>119.9*G71</f>
        <v>94.186959932560001</v>
      </c>
      <c r="H56" s="108">
        <f>118.1*H71</f>
        <v>94.55564451443999</v>
      </c>
      <c r="I56" s="85"/>
      <c r="J56" s="34">
        <f>120.1*J71</f>
        <v>94.716088325309997</v>
      </c>
      <c r="K56" s="88">
        <f>117.9*K71</f>
        <v>94.774919614110004</v>
      </c>
      <c r="L56" s="40">
        <f>120.6*L71</f>
        <v>94.366197188099989</v>
      </c>
      <c r="M56" s="34">
        <f>119.4*M71</f>
        <v>93.720565154159999</v>
      </c>
      <c r="N56" s="96">
        <f>121.8*N71</f>
        <v>94.491854251619998</v>
      </c>
      <c r="O56" s="116">
        <f>121.8*O71</f>
        <v>94.49185415417999</v>
      </c>
      <c r="P56" s="92">
        <f>120.5*P71</f>
        <v>94.881889763399997</v>
      </c>
      <c r="Q56" s="40">
        <f>118.9*Q71</f>
        <v>94.816586925510009</v>
      </c>
      <c r="R56" s="34"/>
      <c r="S56" s="32">
        <f>223.2/S71</f>
        <v>98.239436619718319</v>
      </c>
      <c r="T56" s="91">
        <f>286.2/T71</f>
        <v>99.031141868512108</v>
      </c>
      <c r="U56" s="127">
        <f>303.7/U71</f>
        <v>94.31677018633539</v>
      </c>
      <c r="V56" s="88">
        <f>413.1/V71</f>
        <v>99.566160520607383</v>
      </c>
      <c r="W56" s="34">
        <f>187.7/W71</f>
        <v>98.323729701414351</v>
      </c>
      <c r="X56" s="91">
        <f>213.4/X71</f>
        <v>97.17668488160291</v>
      </c>
      <c r="Y56" s="51">
        <f>194.3/Y71</f>
        <v>97.540160642570285</v>
      </c>
      <c r="Z56" s="32">
        <f>397.1/Z71</f>
        <v>93.655660377358487</v>
      </c>
      <c r="AA56" s="85">
        <f>392.3/AA71</f>
        <v>93.29369797859691</v>
      </c>
    </row>
    <row r="57" spans="1:27" x14ac:dyDescent="0.25">
      <c r="A57" s="114">
        <v>12</v>
      </c>
      <c r="B57" s="123">
        <v>2011</v>
      </c>
      <c r="C57" s="92">
        <f>119.7*C71</f>
        <v>94.774346796780009</v>
      </c>
      <c r="D57" s="34">
        <f>120.3*D71</f>
        <v>94.57547169659999</v>
      </c>
      <c r="E57" s="108">
        <f>119.4*E71</f>
        <v>94.089834513240007</v>
      </c>
      <c r="F57" s="92">
        <f>122.4*F71</f>
        <v>94.883720924160002</v>
      </c>
      <c r="G57" s="34">
        <f>120.1*G71</f>
        <v>94.344069123439994</v>
      </c>
      <c r="H57" s="108">
        <f>118.4*H71</f>
        <v>94.795836668160007</v>
      </c>
      <c r="I57" s="85"/>
      <c r="J57" s="34">
        <f>120.3*J71</f>
        <v>94.873817031930002</v>
      </c>
      <c r="K57" s="88">
        <f>118*K71</f>
        <v>94.855305466199994</v>
      </c>
      <c r="L57" s="40">
        <f>120.8*L71</f>
        <v>94.52269171079999</v>
      </c>
      <c r="M57" s="34">
        <f>119.7*M71</f>
        <v>93.956043961079999</v>
      </c>
      <c r="N57" s="96">
        <f>122.3*N71</f>
        <v>94.879751847069997</v>
      </c>
      <c r="O57" s="116">
        <f>122.3*O71</f>
        <v>94.879751749229996</v>
      </c>
      <c r="P57" s="92">
        <f>120.9*P71</f>
        <v>95.196850393319991</v>
      </c>
      <c r="Q57" s="40">
        <f>119.2*Q71</f>
        <v>95.055821375280004</v>
      </c>
      <c r="R57" s="34"/>
      <c r="S57" s="32">
        <f>223.6/S71</f>
        <v>98.41549295774648</v>
      </c>
      <c r="T57" s="91">
        <f>286.5/T71</f>
        <v>99.134948096885807</v>
      </c>
      <c r="U57" s="127">
        <f>311.1/U71</f>
        <v>96.614906832298132</v>
      </c>
      <c r="V57" s="88">
        <f>419.9/V71</f>
        <v>101.2051096649795</v>
      </c>
      <c r="W57" s="34">
        <f>188.4/W71</f>
        <v>98.690413829229968</v>
      </c>
      <c r="X57" s="91">
        <f>213.7/X71</f>
        <v>97.313296903460824</v>
      </c>
      <c r="Y57" s="51">
        <f>195.1/Y71</f>
        <v>97.941767068273094</v>
      </c>
      <c r="Z57" s="32">
        <f>409.4/Z71</f>
        <v>96.556603773584897</v>
      </c>
      <c r="AA57" s="85">
        <f>411.1/AA71</f>
        <v>97.764565992865641</v>
      </c>
    </row>
    <row r="58" spans="1:27" x14ac:dyDescent="0.25">
      <c r="A58" s="114">
        <v>1</v>
      </c>
      <c r="B58" s="123">
        <v>2012</v>
      </c>
      <c r="C58" s="92">
        <f>120.2*C71</f>
        <v>95.170229615480011</v>
      </c>
      <c r="D58" s="34">
        <f>120.8*D71</f>
        <v>94.968553457599995</v>
      </c>
      <c r="E58" s="108">
        <f>119.6*E71</f>
        <v>94.247438926160001</v>
      </c>
      <c r="F58" s="92">
        <f>123.3*F71</f>
        <v>95.58139534272</v>
      </c>
      <c r="G58" s="34">
        <f>120.8*G71</f>
        <v>94.893951291519997</v>
      </c>
      <c r="H58" s="108">
        <f>118.6*H71</f>
        <v>94.955964770639994</v>
      </c>
      <c r="I58" s="85"/>
      <c r="J58" s="34">
        <f>121.2*J71</f>
        <v>95.583596211720007</v>
      </c>
      <c r="K58" s="88">
        <f>118.8*K71</f>
        <v>95.498392282919994</v>
      </c>
      <c r="L58" s="40">
        <f>121.5*L71</f>
        <v>95.070422540249993</v>
      </c>
      <c r="M58" s="73">
        <f>119.5*M71</f>
        <v>93.799058089799999</v>
      </c>
      <c r="N58" s="96">
        <f>123*N71</f>
        <v>95.422808480699999</v>
      </c>
      <c r="O58" s="116">
        <f>123*O71</f>
        <v>95.422808382299991</v>
      </c>
      <c r="P58" s="92">
        <f>121.8*P71</f>
        <v>95.905511810639993</v>
      </c>
      <c r="Q58" s="40">
        <f>119.7*Q71</f>
        <v>95.454545458230001</v>
      </c>
      <c r="R58" s="34"/>
      <c r="S58" s="32">
        <f>224.5/S71</f>
        <v>98.811619718309871</v>
      </c>
      <c r="T58" s="91">
        <f>287.7/T71</f>
        <v>99.550173010380618</v>
      </c>
      <c r="U58" s="127">
        <f>312/U71</f>
        <v>96.894409937888199</v>
      </c>
      <c r="V58" s="88">
        <f>409.3/V71</f>
        <v>98.650277175222953</v>
      </c>
      <c r="W58" s="34">
        <f>188.6/W71</f>
        <v>98.795180722891558</v>
      </c>
      <c r="X58" s="91">
        <f>213.7/X71</f>
        <v>97.313296903460824</v>
      </c>
      <c r="Y58" s="51">
        <f>194.9/Y71</f>
        <v>97.841365461847388</v>
      </c>
      <c r="Z58" s="32">
        <f>407.4/Z71</f>
        <v>96.084905660377345</v>
      </c>
      <c r="AA58" s="85">
        <f>402.7/AA71</f>
        <v>95.766944114149823</v>
      </c>
    </row>
    <row r="59" spans="1:27" x14ac:dyDescent="0.25">
      <c r="A59" s="124">
        <v>2</v>
      </c>
      <c r="B59" s="123">
        <v>2012</v>
      </c>
      <c r="C59" s="92">
        <f>120.8*C71</f>
        <v>95.645288997920005</v>
      </c>
      <c r="D59" s="34">
        <f>121.4*D71</f>
        <v>95.440251570800001</v>
      </c>
      <c r="E59" s="108">
        <f>120.6*E71</f>
        <v>95.035460990760001</v>
      </c>
      <c r="F59" s="92">
        <f>124*F71</f>
        <v>96.124031001600002</v>
      </c>
      <c r="G59" s="34">
        <f>121.6*G71</f>
        <v>95.522388055039997</v>
      </c>
      <c r="H59" s="108">
        <f>119.3*H71</f>
        <v>95.51641312932</v>
      </c>
      <c r="I59" s="85"/>
      <c r="J59" s="34">
        <f>121.8*J71</f>
        <v>96.056782331579996</v>
      </c>
      <c r="K59" s="88">
        <f>119.5*K71</f>
        <v>96.061093247550005</v>
      </c>
      <c r="L59" s="40">
        <f>122.3*L71</f>
        <v>95.696400631049997</v>
      </c>
      <c r="M59" s="34">
        <f>121.2*M71</f>
        <v>95.133437995679998</v>
      </c>
      <c r="N59" s="96">
        <f>123.9*N71</f>
        <v>96.121024152510003</v>
      </c>
      <c r="O59" s="116">
        <f>123.9*O71</f>
        <v>96.121024053390002</v>
      </c>
      <c r="P59" s="92">
        <f>122.5*P71</f>
        <v>96.456692912999998</v>
      </c>
      <c r="Q59" s="40">
        <f>120.5*Q71</f>
        <v>96.092503990950007</v>
      </c>
      <c r="R59" s="34"/>
      <c r="S59" s="32">
        <f>226.6/S71</f>
        <v>99.735915492957758</v>
      </c>
      <c r="T59" s="91">
        <f>290.5/T71</f>
        <v>100.51903114186851</v>
      </c>
      <c r="U59" s="127">
        <f>318/U71</f>
        <v>98.757763975155271</v>
      </c>
      <c r="V59" s="88">
        <f>409/V71</f>
        <v>98.577970595324174</v>
      </c>
      <c r="W59" s="34">
        <f>189.4/W71</f>
        <v>99.214248297537978</v>
      </c>
      <c r="X59" s="91">
        <f>214.7/X71</f>
        <v>97.768670309653899</v>
      </c>
      <c r="Y59" s="51">
        <f>195.3/Y71</f>
        <v>98.0421686746988</v>
      </c>
      <c r="Z59" s="32">
        <f>407.4/Z71</f>
        <v>96.084905660377345</v>
      </c>
      <c r="AA59" s="85">
        <f>402.3/AA71</f>
        <v>95.671819262782407</v>
      </c>
    </row>
    <row r="60" spans="1:27" x14ac:dyDescent="0.25">
      <c r="A60" s="124">
        <v>3</v>
      </c>
      <c r="B60" s="123">
        <v>2012</v>
      </c>
      <c r="C60" s="92">
        <f>122.1*C71</f>
        <v>96.67458432654</v>
      </c>
      <c r="D60" s="34">
        <f>122.8*D71</f>
        <v>96.540880501599986</v>
      </c>
      <c r="E60" s="108">
        <f>122.7*E71</f>
        <v>96.690307326419997</v>
      </c>
      <c r="F60" s="92">
        <f>125*F71</f>
        <v>96.899224799999999</v>
      </c>
      <c r="G60" s="34">
        <f>122.6*G71</f>
        <v>96.30793400943999</v>
      </c>
      <c r="H60" s="108">
        <f>120.7*H71</f>
        <v>96.637309846679997</v>
      </c>
      <c r="I60" s="85"/>
      <c r="J60" s="34">
        <f>123.3*J71</f>
        <v>97.239747631230003</v>
      </c>
      <c r="K60" s="88">
        <f>120.7*K71</f>
        <v>97.025723472630006</v>
      </c>
      <c r="L60" s="40">
        <f>123.3*L71</f>
        <v>96.478873244549987</v>
      </c>
      <c r="M60" s="34">
        <f>122.7*M71</f>
        <v>96.310832030279997</v>
      </c>
      <c r="N60" s="96">
        <f>125.1*N71</f>
        <v>97.051978381590004</v>
      </c>
      <c r="O60" s="116">
        <f>125.1*O71</f>
        <v>97.051978281509989</v>
      </c>
      <c r="P60" s="92">
        <f>123.4*P71</f>
        <v>97.16535433032</v>
      </c>
      <c r="Q60" s="40">
        <f>121.6*Q71</f>
        <v>96.969696973439994</v>
      </c>
      <c r="R60" s="34"/>
      <c r="S60" s="32">
        <f>228.2/S71</f>
        <v>100.44014084507043</v>
      </c>
      <c r="T60" s="91">
        <f>290.5/T71</f>
        <v>100.51903114186851</v>
      </c>
      <c r="U60" s="127">
        <f>317.3/U71</f>
        <v>98.540372670807457</v>
      </c>
      <c r="V60" s="88">
        <f>414.2/V71</f>
        <v>99.831284646902859</v>
      </c>
      <c r="W60" s="34">
        <f>188.2/W71</f>
        <v>98.585646935568349</v>
      </c>
      <c r="X60" s="91">
        <f>214.4/X71</f>
        <v>97.632058287795985</v>
      </c>
      <c r="Y60" s="51">
        <f>194.8/Y71</f>
        <v>97.791164658634543</v>
      </c>
      <c r="Z60" s="32">
        <f>411.4/Z71</f>
        <v>97.028301886792448</v>
      </c>
      <c r="AA60" s="85">
        <f>406.7/AA71</f>
        <v>96.71819262782401</v>
      </c>
    </row>
    <row r="61" spans="1:27" x14ac:dyDescent="0.25">
      <c r="A61" s="124">
        <v>4</v>
      </c>
      <c r="B61" s="123">
        <v>2012</v>
      </c>
      <c r="C61" s="92">
        <f>122.7*C71</f>
        <v>97.149643708980008</v>
      </c>
      <c r="D61" s="34">
        <f>123.3*D71</f>
        <v>96.933962262599991</v>
      </c>
      <c r="E61" s="108">
        <f>123.3*E71</f>
        <v>97.163120565179995</v>
      </c>
      <c r="F61" s="92">
        <f>125.2*F71</f>
        <v>97.05426355968001</v>
      </c>
      <c r="G61" s="34">
        <f>123*G71</f>
        <v>96.62215239119999</v>
      </c>
      <c r="H61" s="108">
        <f>121.3*H71</f>
        <v>97.117694154120002</v>
      </c>
      <c r="I61" s="85"/>
      <c r="J61" s="34">
        <f>123.8*J71</f>
        <v>97.634069397779996</v>
      </c>
      <c r="K61" s="88">
        <f>121.2*K71</f>
        <v>97.427652733079995</v>
      </c>
      <c r="L61" s="40">
        <f>123.8*L71</f>
        <v>96.87010955129999</v>
      </c>
      <c r="M61" s="34">
        <f>123.1*M71</f>
        <v>96.624803772839982</v>
      </c>
      <c r="N61" s="96">
        <f>125.7*N71</f>
        <v>97.517455496130012</v>
      </c>
      <c r="O61" s="116">
        <f>125.7*O71</f>
        <v>97.517455395569996</v>
      </c>
      <c r="P61" s="92">
        <f>124.1*P71</f>
        <v>97.71653543267999</v>
      </c>
      <c r="Q61" s="40">
        <f>122.1*Q71</f>
        <v>97.368421056389991</v>
      </c>
      <c r="R61" s="34"/>
      <c r="S61" s="32">
        <f>227.9/S71</f>
        <v>100.30809859154931</v>
      </c>
      <c r="T61" s="91">
        <f>290.4/T71</f>
        <v>100.48442906574394</v>
      </c>
      <c r="U61" s="127">
        <f>317.1/U71</f>
        <v>98.478260869565219</v>
      </c>
      <c r="V61" s="88">
        <f>422.2/V71</f>
        <v>101.75946011087008</v>
      </c>
      <c r="W61" s="34">
        <f>188.6/W71</f>
        <v>98.795180722891558</v>
      </c>
      <c r="X61" s="91">
        <f>218/X71</f>
        <v>99.271402550091068</v>
      </c>
      <c r="Y61" s="51">
        <f>198.6/Y71</f>
        <v>99.698795180722882</v>
      </c>
      <c r="Z61" s="32">
        <f>431.6/Z71</f>
        <v>101.79245283018868</v>
      </c>
      <c r="AA61" s="85">
        <f>425.5/AA71</f>
        <v>101.18906064209274</v>
      </c>
    </row>
    <row r="62" spans="1:27" x14ac:dyDescent="0.25">
      <c r="A62" s="124">
        <v>5</v>
      </c>
      <c r="B62" s="123">
        <v>2012</v>
      </c>
      <c r="C62" s="92">
        <f>122.9*C71</f>
        <v>97.307996836460006</v>
      </c>
      <c r="D62" s="34">
        <f>123.5*D71</f>
        <v>97.091194966999993</v>
      </c>
      <c r="E62" s="108">
        <f>123.6*E71</f>
        <v>97.39952718456</v>
      </c>
      <c r="F62" s="92">
        <f>125.3*F71</f>
        <v>97.131782939519994</v>
      </c>
      <c r="G62" s="34">
        <f>123.3*G71</f>
        <v>96.857816177519993</v>
      </c>
      <c r="H62" s="108">
        <f>121.4*H71</f>
        <v>97.197758205360003</v>
      </c>
      <c r="I62" s="85"/>
      <c r="J62" s="34">
        <f>123.9*J71</f>
        <v>97.712933751090006</v>
      </c>
      <c r="K62" s="88">
        <f>121.2*K71</f>
        <v>97.427652733079995</v>
      </c>
      <c r="L62" s="40">
        <f>124*L71</f>
        <v>97.026604073999991</v>
      </c>
      <c r="M62" s="34">
        <f>123*M71</f>
        <v>96.546310837199997</v>
      </c>
      <c r="N62" s="96">
        <f>125.6*N71</f>
        <v>97.439875977040003</v>
      </c>
      <c r="O62" s="116">
        <f>125.6*O71</f>
        <v>97.439875876559995</v>
      </c>
      <c r="P62" s="92">
        <f>124*P71</f>
        <v>97.637795275199991</v>
      </c>
      <c r="Q62" s="40">
        <f>122.1*Q71</f>
        <v>97.368421056389991</v>
      </c>
      <c r="R62" s="34"/>
      <c r="S62" s="32">
        <f>226.9/S71</f>
        <v>99.867957746478879</v>
      </c>
      <c r="T62" s="91">
        <f>288.9/T71</f>
        <v>99.965397923875415</v>
      </c>
      <c r="U62" s="127">
        <f>323/U71</f>
        <v>100.31055900621118</v>
      </c>
      <c r="V62" s="88">
        <f>426.6/V71</f>
        <v>102.81995661605207</v>
      </c>
      <c r="W62" s="34">
        <f>190.3/W71</f>
        <v>99.6856993190152</v>
      </c>
      <c r="X62" s="91">
        <f>218.8/X71</f>
        <v>99.635701275045534</v>
      </c>
      <c r="Y62" s="51">
        <f>199.4/Y71</f>
        <v>100.10040160642571</v>
      </c>
      <c r="Z62" s="32">
        <f>435.6/Z71</f>
        <v>102.73584905660377</v>
      </c>
      <c r="AA62" s="85">
        <f>429.5/AA71</f>
        <v>102.14030915576694</v>
      </c>
    </row>
    <row r="63" spans="1:27" x14ac:dyDescent="0.25">
      <c r="A63" s="124">
        <v>6</v>
      </c>
      <c r="B63" s="123">
        <v>2012</v>
      </c>
      <c r="C63" s="92">
        <f>123.2*C71</f>
        <v>97.545526527680011</v>
      </c>
      <c r="D63" s="34">
        <f>124*D71</f>
        <v>97.484276727999998</v>
      </c>
      <c r="E63" s="108">
        <f>123.8*E71</f>
        <v>97.557131597479994</v>
      </c>
      <c r="F63" s="92">
        <f>125.2*F71</f>
        <v>97.05426355968001</v>
      </c>
      <c r="G63" s="34">
        <f>124.2*G71</f>
        <v>97.564807536480004</v>
      </c>
      <c r="H63" s="108">
        <f>121.7*H71</f>
        <v>97.437950359080006</v>
      </c>
      <c r="I63" s="85"/>
      <c r="J63" s="34">
        <f>123.7*J71</f>
        <v>97.55520504447</v>
      </c>
      <c r="K63" s="88">
        <f>121.8*K71</f>
        <v>97.909967845620002</v>
      </c>
      <c r="L63" s="40">
        <f>124.5*L71</f>
        <v>97.417840380749993</v>
      </c>
      <c r="M63" s="34">
        <f>123.8*M71</f>
        <v>97.174254322319996</v>
      </c>
      <c r="N63" s="96">
        <f>125.6*N71</f>
        <v>97.439875977040003</v>
      </c>
      <c r="O63" s="116">
        <f>125.6*O71</f>
        <v>97.439875876559995</v>
      </c>
      <c r="P63" s="92">
        <f>124.2*P71</f>
        <v>97.795275590160003</v>
      </c>
      <c r="Q63" s="40">
        <f>121.9*Q71</f>
        <v>97.208931423210004</v>
      </c>
      <c r="R63" s="34"/>
      <c r="S63" s="32">
        <f>226.8/S71</f>
        <v>99.823943661971839</v>
      </c>
      <c r="T63" s="91">
        <f>289.1/T71</f>
        <v>100.03460207612457</v>
      </c>
      <c r="U63" s="127">
        <f>324/U71</f>
        <v>100.62111801242236</v>
      </c>
      <c r="V63" s="88">
        <f>410.3/V71</f>
        <v>98.891299108218846</v>
      </c>
      <c r="W63" s="34">
        <f>190.8/W71</f>
        <v>99.947616553169198</v>
      </c>
      <c r="X63" s="91">
        <f>219.1/X71</f>
        <v>99.772313296903448</v>
      </c>
      <c r="Y63" s="51">
        <f>199.9/Y71</f>
        <v>100.35140562248996</v>
      </c>
      <c r="Z63" s="32">
        <f>425.7/Z71</f>
        <v>100.40094339622641</v>
      </c>
      <c r="AA63" s="85">
        <f>421.1/AA71</f>
        <v>100.14268727705114</v>
      </c>
    </row>
    <row r="64" spans="1:27" x14ac:dyDescent="0.25">
      <c r="A64" s="124">
        <v>7</v>
      </c>
      <c r="B64" s="123">
        <v>2012</v>
      </c>
      <c r="C64" s="92">
        <f>123.6*C71</f>
        <v>97.862232782640007</v>
      </c>
      <c r="D64" s="34">
        <f>124.7*D71</f>
        <v>98.03459119339999</v>
      </c>
      <c r="E64" s="108">
        <f>124.2*E71</f>
        <v>97.872340423319997</v>
      </c>
      <c r="F64" s="92">
        <f>126.5*F71</f>
        <v>98.062015497600001</v>
      </c>
      <c r="G64" s="34">
        <f>124.6*G71</f>
        <v>97.879025918239989</v>
      </c>
      <c r="H64" s="108">
        <f>121.9*H71</f>
        <v>97.598078461560007</v>
      </c>
      <c r="I64" s="85"/>
      <c r="J64" s="34">
        <f>124.3*J71</f>
        <v>98.028391164330003</v>
      </c>
      <c r="K64" s="88">
        <f>122.2*K71</f>
        <v>98.231511253980003</v>
      </c>
      <c r="L64" s="40">
        <f>124.8*L71</f>
        <v>97.652582164799995</v>
      </c>
      <c r="M64" s="34">
        <f>123.9*M71</f>
        <v>97.252747257959996</v>
      </c>
      <c r="N64" s="96">
        <f>125.9*N71</f>
        <v>97.672614534310014</v>
      </c>
      <c r="O64" s="116">
        <f>125.9*O71</f>
        <v>97.672614433589999</v>
      </c>
      <c r="P64" s="92">
        <f>124.8*P71</f>
        <v>98.267716535039995</v>
      </c>
      <c r="Q64" s="40">
        <f>122.5*Q71</f>
        <v>97.687400322749994</v>
      </c>
      <c r="R64" s="34"/>
      <c r="S64" s="32">
        <f>227.1/S71</f>
        <v>99.95598591549296</v>
      </c>
      <c r="T64" s="91">
        <f>289.9/T71</f>
        <v>100.3114186851211</v>
      </c>
      <c r="U64" s="127">
        <f>325.3/U71</f>
        <v>101.02484472049689</v>
      </c>
      <c r="V64" s="88">
        <f>378.6/V71</f>
        <v>91.250903832248738</v>
      </c>
      <c r="W64" s="34">
        <f>191/W71</f>
        <v>100.0523834468308</v>
      </c>
      <c r="X64" s="91">
        <f>220.2/X71</f>
        <v>100.27322404371583</v>
      </c>
      <c r="Y64" s="51">
        <f>200/Y71</f>
        <v>100.40160642570281</v>
      </c>
      <c r="Z64" s="32">
        <f>401.1/Z71</f>
        <v>94.59905660377359</v>
      </c>
      <c r="AA64" s="85">
        <f>394.3/AA71</f>
        <v>93.769322235434004</v>
      </c>
    </row>
    <row r="65" spans="1:27" x14ac:dyDescent="0.25">
      <c r="A65" s="124">
        <v>8</v>
      </c>
      <c r="B65" s="123">
        <v>2012</v>
      </c>
      <c r="C65" s="92">
        <f>123.8*C71</f>
        <v>98.020585910120005</v>
      </c>
      <c r="D65" s="34">
        <f>124.9*D71</f>
        <v>98.191823897799992</v>
      </c>
      <c r="E65" s="108">
        <f>124.4*E71</f>
        <v>98.029944836240006</v>
      </c>
      <c r="F65" s="92">
        <f>126.8*F71</f>
        <v>98.294573637119996</v>
      </c>
      <c r="G65" s="34">
        <f>124.7*G71</f>
        <v>97.95758051368</v>
      </c>
      <c r="H65" s="108">
        <f>122.1*H71</f>
        <v>97.758206564039995</v>
      </c>
      <c r="I65" s="85"/>
      <c r="J65" s="34">
        <f>124.5*J71</f>
        <v>98.186119870950009</v>
      </c>
      <c r="K65" s="88">
        <f>122.4*K71</f>
        <v>98.392282958159996</v>
      </c>
      <c r="L65" s="40">
        <f>125.3*L71</f>
        <v>98.043818471549997</v>
      </c>
      <c r="M65" s="34">
        <f>124.5*M71</f>
        <v>97.723704871799995</v>
      </c>
      <c r="N65" s="96">
        <f>126.3*N71</f>
        <v>97.982932610670005</v>
      </c>
      <c r="O65" s="116">
        <f>126.3*O71</f>
        <v>97.98293250962999</v>
      </c>
      <c r="P65" s="92">
        <f>124.9*P71</f>
        <v>98.346456692519993</v>
      </c>
      <c r="Q65" s="40">
        <f>122.8*Q71</f>
        <v>97.926634772520003</v>
      </c>
      <c r="R65" s="34"/>
      <c r="S65" s="32">
        <f>227.9/S71</f>
        <v>100.30809859154931</v>
      </c>
      <c r="T65" s="91">
        <f>290/T71</f>
        <v>100.34602076124567</v>
      </c>
      <c r="U65" s="127">
        <f>324.2/U71</f>
        <v>100.68322981366458</v>
      </c>
      <c r="V65" s="88">
        <f>388/V71</f>
        <v>93.516510002410214</v>
      </c>
      <c r="W65" s="34">
        <f>191.5/W71</f>
        <v>100.3143006809848</v>
      </c>
      <c r="X65" s="91">
        <f>219.1/X71</f>
        <v>99.772313296903448</v>
      </c>
      <c r="Y65" s="51">
        <f>200.5/Y71</f>
        <v>100.65261044176707</v>
      </c>
      <c r="Z65" s="32">
        <f>406.6/Z71</f>
        <v>95.896226415094347</v>
      </c>
      <c r="AA65" s="85">
        <f>399.9/AA71</f>
        <v>95.101070154577883</v>
      </c>
    </row>
    <row r="66" spans="1:27" x14ac:dyDescent="0.25">
      <c r="A66" s="124">
        <v>9</v>
      </c>
      <c r="B66" s="123">
        <v>2012</v>
      </c>
      <c r="C66" s="92">
        <f>124.9*C71</f>
        <v>98.891528111260016</v>
      </c>
      <c r="D66" s="34">
        <f>125.7*D71</f>
        <v>98.8207547154</v>
      </c>
      <c r="E66" s="108">
        <f>125.4*E71</f>
        <v>98.817966900840005</v>
      </c>
      <c r="F66" s="92">
        <f>128*F71</f>
        <v>99.224806195200003</v>
      </c>
      <c r="G66" s="34">
        <f>125.9*G71</f>
        <v>98.90023565896</v>
      </c>
      <c r="H66" s="108">
        <f>123.3*H71</f>
        <v>98.718975178920005</v>
      </c>
      <c r="I66" s="85"/>
      <c r="J66" s="34">
        <f>125.5*J71</f>
        <v>98.974763404050009</v>
      </c>
      <c r="K66" s="88">
        <f>123.3*K71</f>
        <v>99.11575562697</v>
      </c>
      <c r="L66" s="40">
        <f>126.3*L71</f>
        <v>98.826291085049988</v>
      </c>
      <c r="M66" s="34">
        <f>126.2*M71</f>
        <v>99.058084777679994</v>
      </c>
      <c r="N66" s="96">
        <f>127.3*N71</f>
        <v>98.758727801570004</v>
      </c>
      <c r="O66" s="116">
        <f>127.3*O71</f>
        <v>98.758727699729988</v>
      </c>
      <c r="P66" s="92">
        <f>126*P71</f>
        <v>99.212598424799992</v>
      </c>
      <c r="Q66" s="40">
        <f>124.1*Q71</f>
        <v>98.963317388189992</v>
      </c>
      <c r="R66" s="34"/>
      <c r="S66" s="32">
        <f>227.5/S71</f>
        <v>100.13204225352113</v>
      </c>
      <c r="T66" s="91">
        <f>289.8/T71</f>
        <v>100.27681660899654</v>
      </c>
      <c r="U66" s="127">
        <f>323.5/U71</f>
        <v>100.46583850931677</v>
      </c>
      <c r="V66" s="88">
        <f>412.7/V71</f>
        <v>99.469751747409006</v>
      </c>
      <c r="W66" s="34">
        <f>192.5/W71</f>
        <v>100.83813514929282</v>
      </c>
      <c r="X66" s="91">
        <f>223.2/X71</f>
        <v>101.63934426229507</v>
      </c>
      <c r="Y66" s="51">
        <f>200.6/Y71</f>
        <v>100.70281124497991</v>
      </c>
      <c r="Z66" s="32">
        <f>434/Z71</f>
        <v>102.35849056603773</v>
      </c>
      <c r="AA66" s="85">
        <f>427.5/AA71</f>
        <v>101.66468489892985</v>
      </c>
    </row>
    <row r="67" spans="1:27" x14ac:dyDescent="0.25">
      <c r="A67" s="124">
        <v>10</v>
      </c>
      <c r="B67" s="123">
        <v>2012</v>
      </c>
      <c r="C67" s="92">
        <f>125.5*C71</f>
        <v>99.36658749370001</v>
      </c>
      <c r="D67" s="34">
        <f>126.5*D71</f>
        <v>99.449685532999993</v>
      </c>
      <c r="E67" s="108">
        <f>126.1*E71</f>
        <v>99.36958234606</v>
      </c>
      <c r="F67" s="92">
        <f>128.6*F71</f>
        <v>99.689922474239992</v>
      </c>
      <c r="G67" s="34">
        <f>126.7*G71</f>
        <v>99.52867242248</v>
      </c>
      <c r="H67" s="108">
        <f>124.1*H71</f>
        <v>99.359487588839997</v>
      </c>
      <c r="I67" s="85"/>
      <c r="J67" s="34">
        <f>126.3*J71</f>
        <v>99.605678230530003</v>
      </c>
      <c r="K67" s="88">
        <f>124*K71</f>
        <v>99.678456591599996</v>
      </c>
      <c r="L67" s="40">
        <f>127.3*L71</f>
        <v>99.608763698549993</v>
      </c>
      <c r="M67" s="34">
        <f>127.1*M71</f>
        <v>99.764521198439994</v>
      </c>
      <c r="N67" s="96">
        <f>128.2*N71</f>
        <v>99.456943473379994</v>
      </c>
      <c r="O67" s="116">
        <f>128.2*O71</f>
        <v>99.456943370819985</v>
      </c>
      <c r="P67" s="92">
        <f>126.5*P71</f>
        <v>99.6062992122</v>
      </c>
      <c r="Q67" s="40">
        <f>124.9*Q71</f>
        <v>99.601275920909998</v>
      </c>
      <c r="R67" s="34"/>
      <c r="S67" s="32">
        <f>226.8/S71</f>
        <v>99.823943661971839</v>
      </c>
      <c r="T67" s="91">
        <f>285.9/T71</f>
        <v>98.927335640138395</v>
      </c>
      <c r="U67" s="127">
        <f>324/U71</f>
        <v>100.62111801242236</v>
      </c>
      <c r="V67" s="88">
        <f>433/V71</f>
        <v>104.36249698722584</v>
      </c>
      <c r="W67" s="34">
        <f>192.5/W71</f>
        <v>100.83813514929282</v>
      </c>
      <c r="X67" s="91">
        <f>224.1/X71</f>
        <v>102.04918032786884</v>
      </c>
      <c r="Y67" s="51">
        <f>201.4/Y71</f>
        <v>101.10441767068274</v>
      </c>
      <c r="Z67" s="32">
        <f>436.4/Z71</f>
        <v>102.92452830188678</v>
      </c>
      <c r="AA67" s="85">
        <f>443.5/AA71</f>
        <v>105.46967895362663</v>
      </c>
    </row>
    <row r="68" spans="1:27" x14ac:dyDescent="0.25">
      <c r="A68" s="124">
        <v>11</v>
      </c>
      <c r="B68" s="123">
        <v>2012</v>
      </c>
      <c r="C68" s="92">
        <f>125.8*C71</f>
        <v>99.60411718492</v>
      </c>
      <c r="D68" s="34">
        <f>126.9*D71</f>
        <v>99.764150941799997</v>
      </c>
      <c r="E68" s="108">
        <f>126.4*E71</f>
        <v>99.605988965440005</v>
      </c>
      <c r="F68" s="92">
        <f>129*F71</f>
        <v>99.999999993599999</v>
      </c>
      <c r="G68" s="34">
        <f>126.9*G71</f>
        <v>99.685781613360007</v>
      </c>
      <c r="H68" s="108">
        <f>124.4*H71</f>
        <v>99.599679742559999</v>
      </c>
      <c r="I68" s="85"/>
      <c r="J68" s="34">
        <f>126.6*J71</f>
        <v>99.84227129045999</v>
      </c>
      <c r="K68" s="88">
        <f>124.3*K71</f>
        <v>99.919614147869993</v>
      </c>
      <c r="L68" s="40">
        <f>127.5*L71</f>
        <v>99.765258221249994</v>
      </c>
      <c r="M68" s="34">
        <f>127.3*M71</f>
        <v>99.921507069719993</v>
      </c>
      <c r="N68" s="96">
        <f>128.6*N71</f>
        <v>99.767261549739999</v>
      </c>
      <c r="O68" s="116">
        <f>128.6*O71</f>
        <v>99.76726144685999</v>
      </c>
      <c r="P68" s="92">
        <f>126.8*P71</f>
        <v>99.842519684639996</v>
      </c>
      <c r="Q68" s="40">
        <f>125.1*Q71</f>
        <v>99.76076555409</v>
      </c>
      <c r="R68" s="34"/>
      <c r="S68" s="32">
        <f>227.5/S71</f>
        <v>100.13204225352113</v>
      </c>
      <c r="T68" s="91">
        <f>285.9/T71</f>
        <v>98.927335640138395</v>
      </c>
      <c r="U68" s="127">
        <f>326.4/U71</f>
        <v>101.36645962732918</v>
      </c>
      <c r="V68" s="88">
        <f>439.3/V71</f>
        <v>105.88093516510003</v>
      </c>
      <c r="W68" s="34">
        <f>193.2/W71</f>
        <v>101.20481927710843</v>
      </c>
      <c r="X68" s="91">
        <f>225.1/X71</f>
        <v>102.50455373406191</v>
      </c>
      <c r="Y68" s="51">
        <f>202.1/Y71</f>
        <v>101.45582329317268</v>
      </c>
      <c r="Z68" s="32">
        <f>446.3/Z71</f>
        <v>105.25943396226415</v>
      </c>
      <c r="AA68" s="85">
        <f>447.5/AA71</f>
        <v>106.42092746730083</v>
      </c>
    </row>
    <row r="69" spans="1:27" ht="15.75" thickBot="1" x14ac:dyDescent="0.3">
      <c r="A69" s="159">
        <v>12</v>
      </c>
      <c r="B69" s="160">
        <v>2012</v>
      </c>
      <c r="C69" s="161">
        <f>126.3*C71</f>
        <v>100.00000000362</v>
      </c>
      <c r="D69" s="35">
        <f>127.2*D71</f>
        <v>99.9999999984</v>
      </c>
      <c r="E69" s="162">
        <f>126.9*E71</f>
        <v>99.999999997740005</v>
      </c>
      <c r="F69" s="161">
        <f>129*F71</f>
        <v>99.999999993599999</v>
      </c>
      <c r="G69" s="35">
        <f>127.3*G71</f>
        <v>99.999999995119992</v>
      </c>
      <c r="H69" s="162">
        <f>124.9*H71</f>
        <v>99.999999998760003</v>
      </c>
      <c r="I69" s="95"/>
      <c r="J69" s="35">
        <f>126.8*J71</f>
        <v>99.999999997079996</v>
      </c>
      <c r="K69" s="94">
        <f>124.4*K71</f>
        <v>99.999999999959996</v>
      </c>
      <c r="L69" s="67">
        <f>127.8*L71</f>
        <v>100.0000000053</v>
      </c>
      <c r="M69" s="35">
        <f>127.4*M71</f>
        <v>100.00000000535999</v>
      </c>
      <c r="N69" s="163">
        <f>128.9*N71</f>
        <v>100.00000010701001</v>
      </c>
      <c r="O69" s="164">
        <f>128.9*O71</f>
        <v>100.00000000389001</v>
      </c>
      <c r="P69" s="161">
        <f>127*P71</f>
        <v>99.999999999599993</v>
      </c>
      <c r="Q69" s="67">
        <f>125.4*Q71</f>
        <v>100.00000000386001</v>
      </c>
      <c r="R69" s="34"/>
      <c r="S69" s="33">
        <f>228.2/S71</f>
        <v>100.44014084507043</v>
      </c>
      <c r="T69" s="93">
        <f>289/T71</f>
        <v>100</v>
      </c>
      <c r="U69" s="153">
        <f>329.3/U71</f>
        <v>102.26708074534162</v>
      </c>
      <c r="V69" s="94">
        <f>435.9/V71</f>
        <v>105.06146059291395</v>
      </c>
      <c r="W69" s="35">
        <f>193.7/W71</f>
        <v>101.46673651126244</v>
      </c>
      <c r="X69" s="93">
        <f>225.3/X71</f>
        <v>102.59562841530054</v>
      </c>
      <c r="Y69" s="157">
        <f>202.6/Y71</f>
        <v>101.70682730923694</v>
      </c>
      <c r="Z69" s="33">
        <f>444.4/Z71</f>
        <v>104.81132075471697</v>
      </c>
      <c r="AA69" s="95">
        <f>445.5/AA71</f>
        <v>105.94530321046373</v>
      </c>
    </row>
    <row r="70" spans="1:27" ht="15.75" thickBot="1" x14ac:dyDescent="0.3"/>
    <row r="71" spans="1:27" ht="15.75" thickBot="1" x14ac:dyDescent="0.3">
      <c r="C71" s="74">
        <v>0.79176563740000006</v>
      </c>
      <c r="D71" s="74">
        <v>0.78616352199999995</v>
      </c>
      <c r="E71" s="75">
        <v>0.78802206460000002</v>
      </c>
      <c r="F71" s="76">
        <v>0.77519379840000002</v>
      </c>
      <c r="G71" s="74">
        <v>0.78554595439999997</v>
      </c>
      <c r="H71" s="339">
        <v>0.8006405124</v>
      </c>
      <c r="I71" s="156"/>
      <c r="J71" s="74">
        <v>0.78864353310000002</v>
      </c>
      <c r="K71" s="155">
        <v>0.80385852089999998</v>
      </c>
      <c r="L71" s="75">
        <v>0.78247261349999997</v>
      </c>
      <c r="M71" s="76">
        <v>0.78492935639999994</v>
      </c>
      <c r="N71" s="74">
        <v>0.77579519090000004</v>
      </c>
      <c r="O71" s="156">
        <v>0.77579519009999998</v>
      </c>
      <c r="P71" s="76">
        <v>0.78740157479999995</v>
      </c>
      <c r="Q71" s="75">
        <v>0.79744816590000001</v>
      </c>
      <c r="R71" s="323"/>
      <c r="S71" s="78">
        <v>2.2719999999999998</v>
      </c>
      <c r="T71" s="106">
        <v>2.89</v>
      </c>
      <c r="U71" s="329">
        <v>3.22</v>
      </c>
      <c r="V71" s="79">
        <v>4.149</v>
      </c>
      <c r="W71" s="81">
        <v>1.909</v>
      </c>
      <c r="X71" s="79">
        <v>2.1960000000000002</v>
      </c>
      <c r="Y71" s="80">
        <v>1.992</v>
      </c>
      <c r="Z71" s="107">
        <v>4.24</v>
      </c>
      <c r="AA71" s="82">
        <v>4.2050000000000001</v>
      </c>
    </row>
    <row r="72" spans="1:27" x14ac:dyDescent="0.25">
      <c r="S72" s="8"/>
      <c r="T72" s="8"/>
      <c r="U72" s="8"/>
      <c r="V72" s="8"/>
      <c r="W72" s="8"/>
      <c r="X72" s="8"/>
      <c r="Y72" s="8"/>
    </row>
  </sheetData>
  <mergeCells count="1">
    <mergeCell ref="G5:I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11</vt:i4>
      </vt:variant>
    </vt:vector>
  </HeadingPairs>
  <TitlesOfParts>
    <vt:vector size="19" baseType="lpstr">
      <vt:lpstr>CPI</vt:lpstr>
      <vt:lpstr>Plant Material Fuel</vt:lpstr>
      <vt:lpstr>No Longer Applicable - Plant</vt:lpstr>
      <vt:lpstr>Table X12 Indices 2012=100</vt:lpstr>
      <vt:lpstr>Table A Indices 2012=100</vt:lpstr>
      <vt:lpstr>Discontinued - OLDTABLE A</vt:lpstr>
      <vt:lpstr>Discontinued - TABLE B</vt:lpstr>
      <vt:lpstr>No Longer Applicable - Table C</vt:lpstr>
      <vt:lpstr>CPI!Print_Area</vt:lpstr>
      <vt:lpstr>'Discontinued - OLDTABLE A'!Print_Area</vt:lpstr>
      <vt:lpstr>'No Longer Applicable - Plant'!Print_Area</vt:lpstr>
      <vt:lpstr>'No Longer Applicable - Table C'!Print_Area</vt:lpstr>
      <vt:lpstr>'Table A Indices 2012=100'!Print_Area</vt:lpstr>
      <vt:lpstr>'Table X12 Indices 2012=100'!Print_Area</vt:lpstr>
      <vt:lpstr>CPI!Print_Titles</vt:lpstr>
      <vt:lpstr>'Discontinued - OLDTABLE A'!Print_Titles</vt:lpstr>
      <vt:lpstr>'No Longer Applicable - Plant'!Print_Titles</vt:lpstr>
      <vt:lpstr>'Table A Indices 2012=100'!Print_Titles</vt:lpstr>
      <vt:lpstr>'Table X12 Indices 2012=100'!Print_Titles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Amos Mtephe</cp:lastModifiedBy>
  <cp:lastPrinted>2018-02-05T11:28:57Z</cp:lastPrinted>
  <dcterms:created xsi:type="dcterms:W3CDTF">2009-03-23T07:34:27Z</dcterms:created>
  <dcterms:modified xsi:type="dcterms:W3CDTF">2022-09-06T00:02:23Z</dcterms:modified>
</cp:coreProperties>
</file>