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2016\"/>
    </mc:Choice>
  </mc:AlternateContent>
  <bookViews>
    <workbookView xWindow="0" yWindow="0" windowWidth="15360" windowHeight="7836" tabRatio="947"/>
  </bookViews>
  <sheets>
    <sheet name="NEWTABLE A Indices 2012=100" sheetId="28" r:id="rId1"/>
    <sheet name="Discontinued - OLDTABLE A" sheetId="19" r:id="rId2"/>
    <sheet name="Discontinued - TABLE B" sheetId="21" r:id="rId3"/>
    <sheet name="No Longer Applicable - Table C" sheetId="22" r:id="rId4"/>
  </sheets>
  <definedNames>
    <definedName name="_xlnm.Print_Area" localSheetId="1">'Discontinued - OLDTABLE A'!$B$2:$AA$109</definedName>
    <definedName name="_xlnm.Print_Area" localSheetId="0">'NEWTABLE A Indices 2012=100'!$B$2:$AA$109</definedName>
    <definedName name="_xlnm.Print_Area" localSheetId="3">'No Longer Applicable - Table C'!$A$1:$Q$72</definedName>
    <definedName name="_xlnm.Print_Titles" localSheetId="1">'Discontinued - OLDTABLE A'!$2:$13</definedName>
    <definedName name="_xlnm.Print_Titles" localSheetId="0">'NEWTABLE A Indices 2012=100'!$2:$13</definedName>
  </definedNames>
  <calcPr calcId="171027"/>
</workbook>
</file>

<file path=xl/calcChain.xml><?xml version="1.0" encoding="utf-8"?>
<calcChain xmlns="http://schemas.openxmlformats.org/spreadsheetml/2006/main"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Y48" i="28"/>
  <c r="X48" i="28"/>
  <c r="W48" i="28"/>
  <c r="U48" i="28"/>
  <c r="T48" i="28"/>
  <c r="S48" i="28"/>
  <c r="Y47" i="28"/>
  <c r="X47" i="28"/>
  <c r="W47" i="28"/>
  <c r="U47" i="28"/>
  <c r="T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W15" i="28"/>
  <c r="S15" i="28"/>
  <c r="W14" i="28"/>
  <c r="S14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<sst xmlns="http://schemas.openxmlformats.org/spreadsheetml/2006/main" count="313" uniqueCount="123">
  <si>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</si>
  <si>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</si>
  <si>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</si>
  <si>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</si>
  <si>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</si>
  <si>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</si>
  <si>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</si>
  <si>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</si>
  <si>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</si>
  <si>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</si>
  <si>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</si>
  <si>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</si>
  <si>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</si>
  <si>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</si>
  <si>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</si>
  <si>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</si>
  <si>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</si>
  <si>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</si>
  <si>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</si>
  <si>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</si>
  <si>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</si>
  <si>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</si>
  <si>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</si>
  <si>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</si>
  <si>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</si>
  <si>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</si>
  <si>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</si>
  <si>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</si>
  <si>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</si>
  <si>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</si>
  <si>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</si>
  <si>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</si>
  <si>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</si>
  <si>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</si>
  <si>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</si>
  <si>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</si>
  <si>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</si>
  <si>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</si>
  <si>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</si>
  <si>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</si>
  <si>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</si>
  <si>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</si>
  <si>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</si>
  <si>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</si>
  <si>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</si>
  <si>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</si>
  <si>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</si>
  <si>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</si>
  <si>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</si>
  <si>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</si>
  <si>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</si>
  <si>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</si>
  <si>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</si>
  <si>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</si>
  <si>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</si>
  <si>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</si>
  <si>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</si>
  <si>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</si>
  <si>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</si>
  <si>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</si>
  <si>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</si>
  <si>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</si>
  <si>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</si>
  <si>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</si>
  <si>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</si>
  <si>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</si>
  <si>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</si>
  <si>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</si>
  <si>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</si>
  <si>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</si>
  <si>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</si>
  <si>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</si>
  <si>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</si>
  <si>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</si>
  <si>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</si>
  <si>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</si>
  <si>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</si>
  <si>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</si>
  <si>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</si>
  <si>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</si>
  <si>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</si>
  <si>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</si>
  <si>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</si>
  <si>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</si>
  <si>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</si>
  <si>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</si>
  <si>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</si>
  <si>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</si>
  <si>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</si>
  <si>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</si>
  <si>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</si>
  <si>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</si>
  <si>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</si>
  <si>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</si>
  <si>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</si>
  <si>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</si>
  <si>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</si>
  <si>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</si>
  <si>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</si>
  <si>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</si>
  <si>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</si>
  <si>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</si>
  <si>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</si>
  <si>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</si>
  <si>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</si>
  <si>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</si>
  <si>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</si>
  <si>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</si>
  <si>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</si>
  <si>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</si>
  <si>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</si>
  <si>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</si>
  <si>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</si>
  <si>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</si>
  <si>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</si>
  <si>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</si>
  <si>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</si>
  <si>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</si>
  <si>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</si>
  <si>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NEW TABLE A (Indice base 100 as at Dec 2012)</t>
  </si>
  <si>
    <t>TABLE B - Indices 2008 = 100</t>
  </si>
  <si>
    <t>OLD TABLE A (Indice base 100 as at Dec 2012)</t>
  </si>
  <si>
    <t>2008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</si>
</sst>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000000"/>
    <numFmt numFmtId="166" formatCode="0.0000"/>
    <numFmt numFmtId="167" formatCode="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522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164" fontId="16" fillId="14" borderId="65" xfId="0" applyNumberFormat="1" applyFont="1" applyFill="1" applyBorder="1" applyAlignment="1">
      <alignment horizontal="right" vertical="center" indent="2"/>
    </xf>
    <xf numFmtId="164" fontId="16" fillId="14" borderId="66" xfId="0" applyNumberFormat="1" applyFont="1" applyFill="1" applyBorder="1" applyAlignment="1">
      <alignment horizontal="right" vertical="center" indent="2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48" xfId="0" applyNumberFormat="1" applyFont="1" applyFill="1" applyBorder="1" applyAlignment="1">
      <alignment horizontal="center" vertical="center"/>
    </xf>
    <xf numFmtId="164" fontId="11" fillId="13" borderId="49" xfId="0" applyNumberFormat="1" applyFont="1" applyFill="1" applyBorder="1" applyAlignment="1">
      <alignment horizontal="center" vertical="center"/>
    </xf>
    <xf numFmtId="164" fontId="11" fillId="13" borderId="70" xfId="0" applyNumberFormat="1" applyFont="1" applyFill="1" applyBorder="1" applyAlignment="1">
      <alignment horizontal="center" vertical="center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66675</xdr:colOff>
      <xdr:row>113</xdr:row>
      <xdr:rowOff>19051</xdr:rowOff>
    </xdr:from>
    <xdr:to>
      <xdr:col>29</xdr:col>
      <xdr:colOff>152400</xdr:colOff>
      <xdr:row>114</xdr:row>
      <xdr:rowOff>180975</xdr:rowOff>
    </xdr:to>
    <xdr:sp macro="" textlink="">
      <xdr:nvSpPr>
        <xdr:cNvPr id="2" name="TextBox 1"/>
        <xdr:cNvSpPr txBox="1"/>
      </xdr:nvSpPr>
      <xdr:spPr>
        <a:xfrm>
          <a:off x="27393900" y="24803101"/>
          <a:ext cx="1457325" cy="39052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Indices have been corrected</a:t>
          </a:r>
        </a:p>
      </xdr:txBody>
    </xdr:sp>
    <xdr:clientData/>
  </xdr:twoCellAnchor>
  <xdr:twoCellAnchor>
    <xdr:from>
      <xdr:col>26</xdr:col>
      <xdr:colOff>933450</xdr:colOff>
      <xdr:row>114</xdr:row>
      <xdr:rowOff>104775</xdr:rowOff>
    </xdr:from>
    <xdr:to>
      <xdr:col>28</xdr:col>
      <xdr:colOff>352425</xdr:colOff>
      <xdr:row>116</xdr:row>
      <xdr:rowOff>142876</xdr:rowOff>
    </xdr:to>
    <xdr:cxnSp macro="">
      <xdr:nvCxnSpPr>
        <xdr:cNvPr id="4" name="Straight Arrow Connector 3"/>
        <xdr:cNvCxnSpPr/>
      </xdr:nvCxnSpPr>
      <xdr:spPr>
        <a:xfrm flipH="1">
          <a:off x="27117675" y="25117425"/>
          <a:ext cx="561975" cy="4953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885825</xdr:colOff>
      <xdr:row>114</xdr:row>
      <xdr:rowOff>57150</xdr:rowOff>
    </xdr:from>
    <xdr:to>
      <xdr:col>28</xdr:col>
      <xdr:colOff>285750</xdr:colOff>
      <xdr:row>116</xdr:row>
      <xdr:rowOff>114300</xdr:rowOff>
    </xdr:to>
    <xdr:cxnSp macro="">
      <xdr:nvCxnSpPr>
        <xdr:cNvPr id="6" name="Straight Arrow Connector 5"/>
        <xdr:cNvCxnSpPr/>
      </xdr:nvCxnSpPr>
      <xdr:spPr>
        <a:xfrm flipH="1">
          <a:off x="26022300" y="25069800"/>
          <a:ext cx="1590675" cy="514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2"/>
  <sheetViews>
    <sheetView tabSelected="1" zoomScaleNormal="100" workbookViewId="0">
      <pane xSplit="3" ySplit="13" topLeftCell="Q107" activePane="bottomRight" state="frozen"/>
      <selection pane="topRight" activeCell="D1" sqref="D1"/>
      <selection pane="bottomLeft" activeCell="A14" sqref="A14"/>
      <selection pane="bottomRight" activeCell="AB119" sqref="AB119"/>
    </sheetView>
  </sheetViews>
  <sheetFormatPr defaultColWidth="9.109375" defaultRowHeight="18" customHeight="1" x14ac:dyDescent="0.3"/>
  <cols>
    <col min="1" max="1" width="1.21875" style="197" customWidth="1"/>
    <col min="2" max="2" width="8.88671875" style="197" customWidth="1"/>
    <col min="3" max="3" width="8.77734375" style="197" customWidth="1"/>
    <col min="4" max="17" width="13.77734375" style="197" customWidth="1"/>
    <col min="18" max="18" width="1.21875" style="197" customWidth="1"/>
    <col min="19" max="25" width="16.77734375" style="197" customWidth="1"/>
    <col min="26" max="27" width="13.77734375" style="197" customWidth="1"/>
    <col min="28" max="28" width="1.2187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119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473" t="s">
        <v>113</v>
      </c>
      <c r="Y4" s="474"/>
      <c r="Z4" s="474"/>
      <c r="AA4" s="475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476"/>
      <c r="Y5" s="477"/>
      <c r="Z5" s="477"/>
      <c r="AA5" s="478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466" t="s">
        <v>66</v>
      </c>
      <c r="C7" s="467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0" ht="18" customHeight="1" thickBot="1" x14ac:dyDescent="0.35">
      <c r="A11" s="244"/>
      <c r="B11" s="468" t="s">
        <v>75</v>
      </c>
      <c r="C11" s="469"/>
      <c r="D11" s="206" t="s">
        <v>8</v>
      </c>
      <c r="E11" s="470" t="s">
        <v>67</v>
      </c>
      <c r="F11" s="471"/>
      <c r="G11" s="204" t="s">
        <v>9</v>
      </c>
      <c r="H11" s="206" t="s">
        <v>58</v>
      </c>
      <c r="I11" s="470" t="s">
        <v>68</v>
      </c>
      <c r="J11" s="472"/>
      <c r="K11" s="471"/>
      <c r="L11" s="206" t="s">
        <v>24</v>
      </c>
      <c r="M11" s="470" t="s">
        <v>11</v>
      </c>
      <c r="N11" s="472"/>
      <c r="O11" s="471"/>
      <c r="P11" s="206" t="s">
        <v>12</v>
      </c>
      <c r="Q11" s="205" t="s">
        <v>13</v>
      </c>
      <c r="R11" s="237"/>
      <c r="S11" s="238" t="s">
        <v>50</v>
      </c>
      <c r="T11" s="479" t="s">
        <v>51</v>
      </c>
      <c r="U11" s="480"/>
      <c r="V11" s="480"/>
      <c r="W11" s="480"/>
      <c r="X11" s="480"/>
      <c r="Y11" s="480"/>
      <c r="Z11" s="480"/>
      <c r="AA11" s="481"/>
      <c r="AB11" s="244"/>
      <c r="AC11" s="263"/>
    </row>
    <row r="12" spans="1:30" ht="18" customHeight="1" thickBot="1" x14ac:dyDescent="0.35">
      <c r="A12" s="244"/>
      <c r="B12" s="482" t="s">
        <v>72</v>
      </c>
      <c r="C12" s="484" t="s">
        <v>73</v>
      </c>
      <c r="D12" s="458" t="s">
        <v>76</v>
      </c>
      <c r="E12" s="460" t="s">
        <v>78</v>
      </c>
      <c r="F12" s="456" t="s">
        <v>79</v>
      </c>
      <c r="G12" s="450" t="s">
        <v>10</v>
      </c>
      <c r="H12" s="458" t="s">
        <v>80</v>
      </c>
      <c r="I12" s="460" t="s">
        <v>81</v>
      </c>
      <c r="J12" s="490" t="s">
        <v>82</v>
      </c>
      <c r="K12" s="456" t="s">
        <v>97</v>
      </c>
      <c r="L12" s="458" t="s">
        <v>83</v>
      </c>
      <c r="M12" s="460" t="s">
        <v>84</v>
      </c>
      <c r="N12" s="462" t="s">
        <v>85</v>
      </c>
      <c r="O12" s="464" t="s">
        <v>15</v>
      </c>
      <c r="P12" s="458" t="s">
        <v>86</v>
      </c>
      <c r="Q12" s="450" t="s">
        <v>3</v>
      </c>
      <c r="R12" s="236"/>
      <c r="S12" s="452" t="s">
        <v>87</v>
      </c>
      <c r="T12" s="454" t="s">
        <v>88</v>
      </c>
      <c r="U12" s="492" t="s">
        <v>89</v>
      </c>
      <c r="V12" s="494" t="s">
        <v>114</v>
      </c>
      <c r="W12" s="496" t="s">
        <v>91</v>
      </c>
      <c r="X12" s="498" t="s">
        <v>92</v>
      </c>
      <c r="Y12" s="486" t="s">
        <v>93</v>
      </c>
      <c r="Z12" s="488" t="s">
        <v>115</v>
      </c>
      <c r="AA12" s="489"/>
      <c r="AB12" s="244"/>
      <c r="AC12" s="263"/>
    </row>
    <row r="13" spans="1:30" ht="18" customHeight="1" thickBot="1" x14ac:dyDescent="0.35">
      <c r="A13" s="244"/>
      <c r="B13" s="483"/>
      <c r="C13" s="485"/>
      <c r="D13" s="459"/>
      <c r="E13" s="461"/>
      <c r="F13" s="457"/>
      <c r="G13" s="451"/>
      <c r="H13" s="459"/>
      <c r="I13" s="461"/>
      <c r="J13" s="491"/>
      <c r="K13" s="457"/>
      <c r="L13" s="459"/>
      <c r="M13" s="461"/>
      <c r="N13" s="463"/>
      <c r="O13" s="465"/>
      <c r="P13" s="459"/>
      <c r="Q13" s="451"/>
      <c r="R13" s="236"/>
      <c r="S13" s="453"/>
      <c r="T13" s="455"/>
      <c r="U13" s="493"/>
      <c r="V13" s="495"/>
      <c r="W13" s="497"/>
      <c r="X13" s="499"/>
      <c r="Y13" s="487"/>
      <c r="Z13" s="439" t="s">
        <v>116</v>
      </c>
      <c r="AA13" s="440" t="s">
        <v>117</v>
      </c>
      <c r="AB13" s="244"/>
      <c r="AC13" s="263"/>
    </row>
    <row r="14" spans="1:30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184.1/S126</f>
        <v>81.029929577464799</v>
      </c>
      <c r="T14" s="325"/>
      <c r="U14" s="326"/>
      <c r="V14" s="415">
        <v>73.900000000000006</v>
      </c>
      <c r="W14" s="328">
        <f>153.7/W126</f>
        <v>80.513357778941852</v>
      </c>
      <c r="X14" s="329"/>
      <c r="Y14" s="330"/>
      <c r="Z14" s="434">
        <v>68.599999999999994</v>
      </c>
      <c r="AA14" s="435">
        <v>67.7</v>
      </c>
      <c r="AB14" s="244"/>
      <c r="AC14" s="263"/>
    </row>
    <row r="15" spans="1:30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186.8/S126</f>
        <v>82.218309859154942</v>
      </c>
      <c r="T15" s="334"/>
      <c r="U15" s="335"/>
      <c r="V15" s="416">
        <v>78.099999999999994</v>
      </c>
      <c r="W15" s="337">
        <f>161.4/W126</f>
        <v>84.546883184913568</v>
      </c>
      <c r="X15" s="338"/>
      <c r="Y15" s="339"/>
      <c r="Z15" s="428">
        <v>69.3</v>
      </c>
      <c r="AA15" s="429">
        <v>68.400000000000006</v>
      </c>
      <c r="AB15" s="244"/>
      <c r="AC15" s="263"/>
    </row>
    <row r="16" spans="1:30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187.8/S126</f>
        <v>82.658450704225359</v>
      </c>
      <c r="T16" s="338"/>
      <c r="U16" s="342"/>
      <c r="V16" s="416">
        <v>89.3</v>
      </c>
      <c r="W16" s="337">
        <f>161.4/W126</f>
        <v>84.546883184913568</v>
      </c>
      <c r="X16" s="338"/>
      <c r="Y16" s="339"/>
      <c r="Z16" s="428">
        <v>76.599999999999994</v>
      </c>
      <c r="AA16" s="429">
        <v>75.8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191/S126</f>
        <v>84.066901408450718</v>
      </c>
      <c r="T17" s="338"/>
      <c r="U17" s="342"/>
      <c r="V17" s="416">
        <v>103.2</v>
      </c>
      <c r="W17" s="337">
        <f>161.4/W126</f>
        <v>84.546883184913568</v>
      </c>
      <c r="X17" s="338"/>
      <c r="Y17" s="339"/>
      <c r="Z17" s="428">
        <v>88.9</v>
      </c>
      <c r="AA17" s="429">
        <v>88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199/S126</f>
        <v>87.588028169014095</v>
      </c>
      <c r="T18" s="338"/>
      <c r="U18" s="342"/>
      <c r="V18" s="416">
        <v>114.4</v>
      </c>
      <c r="W18" s="337">
        <f>168.3/W126</f>
        <v>88.161341016238879</v>
      </c>
      <c r="X18" s="338"/>
      <c r="Y18" s="339"/>
      <c r="Z18" s="428">
        <v>95.4</v>
      </c>
      <c r="AA18" s="429">
        <v>94.7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201.8/S126</f>
        <v>88.820422535211279</v>
      </c>
      <c r="T19" s="334"/>
      <c r="U19" s="342"/>
      <c r="V19" s="416">
        <v>126.3</v>
      </c>
      <c r="W19" s="337">
        <f>168.3/W126</f>
        <v>88.161341016238879</v>
      </c>
      <c r="X19" s="338"/>
      <c r="Y19" s="339"/>
      <c r="Z19" s="428">
        <v>102.2</v>
      </c>
      <c r="AA19" s="429">
        <v>101.5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203.9/S126</f>
        <v>89.744718309859167</v>
      </c>
      <c r="T20" s="338"/>
      <c r="U20" s="342"/>
      <c r="V20" s="416">
        <v>124.4</v>
      </c>
      <c r="W20" s="337">
        <f>168.3/W126</f>
        <v>88.161341016238879</v>
      </c>
      <c r="X20" s="338"/>
      <c r="Y20" s="339"/>
      <c r="Z20" s="428">
        <v>108.2</v>
      </c>
      <c r="AA20" s="429">
        <v>107.5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217.3/S126</f>
        <v>95.64260563380283</v>
      </c>
      <c r="T21" s="338"/>
      <c r="U21" s="342"/>
      <c r="V21" s="416">
        <v>102</v>
      </c>
      <c r="W21" s="337">
        <f>175.4/W126</f>
        <v>91.88056574122578</v>
      </c>
      <c r="X21" s="338"/>
      <c r="Y21" s="339"/>
      <c r="Z21" s="428">
        <v>106.6</v>
      </c>
      <c r="AA21" s="429">
        <v>105.9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218.8/S126</f>
        <v>96.302816901408463</v>
      </c>
      <c r="T22" s="338"/>
      <c r="U22" s="342"/>
      <c r="V22" s="416">
        <v>95.8</v>
      </c>
      <c r="W22" s="337">
        <f>175.4/W126</f>
        <v>91.88056574122578</v>
      </c>
      <c r="X22" s="338"/>
      <c r="Y22" s="339"/>
      <c r="Z22" s="428">
        <v>93</v>
      </c>
      <c r="AA22" s="429">
        <v>92.2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219.6/S126</f>
        <v>96.654929577464799</v>
      </c>
      <c r="T23" s="338"/>
      <c r="U23" s="342"/>
      <c r="V23" s="416">
        <v>91.8</v>
      </c>
      <c r="W23" s="337">
        <f>175.4/W126</f>
        <v>91.88056574122578</v>
      </c>
      <c r="X23" s="338"/>
      <c r="Y23" s="339"/>
      <c r="Z23" s="428">
        <v>87.7</v>
      </c>
      <c r="AA23" s="429">
        <v>86.8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219.2/S126</f>
        <v>96.478873239436624</v>
      </c>
      <c r="T24" s="338"/>
      <c r="U24" s="342"/>
      <c r="V24" s="416">
        <v>81.900000000000006</v>
      </c>
      <c r="W24" s="337">
        <f>184.8/W126</f>
        <v>96.804609743321109</v>
      </c>
      <c r="X24" s="338"/>
      <c r="Y24" s="339"/>
      <c r="Z24" s="428">
        <v>85.4</v>
      </c>
      <c r="AA24" s="429">
        <v>84.5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216.6/S126</f>
        <v>95.33450704225352</v>
      </c>
      <c r="T25" s="344"/>
      <c r="U25" s="345"/>
      <c r="V25" s="417">
        <v>66.599999999999994</v>
      </c>
      <c r="W25" s="347">
        <f>184.8/W126</f>
        <v>96.804609743321109</v>
      </c>
      <c r="X25" s="344"/>
      <c r="Y25" s="348"/>
      <c r="Z25" s="430">
        <v>77.7</v>
      </c>
      <c r="AA25" s="431">
        <v>76.8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219.7/S126</f>
        <v>96.698943661971839</v>
      </c>
      <c r="T26" s="352"/>
      <c r="U26" s="353"/>
      <c r="V26" s="418">
        <v>69.7</v>
      </c>
      <c r="W26" s="355">
        <f>184.8/W126</f>
        <v>96.804609743321109</v>
      </c>
      <c r="X26" s="352"/>
      <c r="Y26" s="356"/>
      <c r="Z26" s="425">
        <v>61.9</v>
      </c>
      <c r="AA26" s="426">
        <v>60.8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215.7/S126</f>
        <v>94.938380281690144</v>
      </c>
      <c r="T27" s="359"/>
      <c r="U27" s="360"/>
      <c r="V27" s="416">
        <v>65.900000000000006</v>
      </c>
      <c r="W27" s="361">
        <f>193/W126</f>
        <v>101.10005238344682</v>
      </c>
      <c r="X27" s="359"/>
      <c r="Y27" s="362"/>
      <c r="Z27" s="421">
        <v>61.4</v>
      </c>
      <c r="AA27" s="422">
        <v>60.4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214.8/S126</f>
        <v>94.542253521126767</v>
      </c>
      <c r="T28" s="359"/>
      <c r="U28" s="360"/>
      <c r="V28" s="416">
        <v>61.6</v>
      </c>
      <c r="W28" s="361">
        <f>193/W126</f>
        <v>101.10005238344682</v>
      </c>
      <c r="X28" s="359"/>
      <c r="Y28" s="362"/>
      <c r="Z28" s="421">
        <v>57.8</v>
      </c>
      <c r="AA28" s="422">
        <v>56.7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213.3/S126</f>
        <v>93.882042253521135</v>
      </c>
      <c r="T29" s="359"/>
      <c r="U29" s="360"/>
      <c r="V29" s="416">
        <v>60.8</v>
      </c>
      <c r="W29" s="361">
        <f>193/W126</f>
        <v>101.10005238344682</v>
      </c>
      <c r="X29" s="359"/>
      <c r="Y29" s="362"/>
      <c r="Z29" s="421">
        <v>61.6</v>
      </c>
      <c r="AA29" s="422">
        <v>60.5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209/S126</f>
        <v>91.989436619718319</v>
      </c>
      <c r="T30" s="359"/>
      <c r="U30" s="360"/>
      <c r="V30" s="416">
        <v>61</v>
      </c>
      <c r="W30" s="361">
        <f>189.2/W126</f>
        <v>99.109481403876373</v>
      </c>
      <c r="X30" s="359"/>
      <c r="Y30" s="362"/>
      <c r="Z30" s="421">
        <v>62.4</v>
      </c>
      <c r="AA30" s="422">
        <v>61.2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208.9/S126</f>
        <v>91.945422535211279</v>
      </c>
      <c r="T31" s="359"/>
      <c r="U31" s="360"/>
      <c r="V31" s="416">
        <v>62.4</v>
      </c>
      <c r="W31" s="361">
        <f>189.2/W126</f>
        <v>99.109481403876373</v>
      </c>
      <c r="X31" s="359"/>
      <c r="Y31" s="362"/>
      <c r="Z31" s="421">
        <v>61.1</v>
      </c>
      <c r="AA31" s="422">
        <v>60.2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211.3/S126</f>
        <v>93.001760563380302</v>
      </c>
      <c r="T32" s="359"/>
      <c r="U32" s="360"/>
      <c r="V32" s="416">
        <v>64.7</v>
      </c>
      <c r="W32" s="361">
        <f>189.2/W126</f>
        <v>99.109481403876373</v>
      </c>
      <c r="X32" s="359"/>
      <c r="Y32" s="362"/>
      <c r="Z32" s="421">
        <v>64.900000000000006</v>
      </c>
      <c r="AA32" s="422">
        <v>64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210.1/S126</f>
        <v>92.473591549295776</v>
      </c>
      <c r="T33" s="359"/>
      <c r="U33" s="360"/>
      <c r="V33" s="416">
        <v>63.7</v>
      </c>
      <c r="W33" s="361">
        <f>190.9/W126</f>
        <v>100</v>
      </c>
      <c r="X33" s="359"/>
      <c r="Y33" s="362"/>
      <c r="Z33" s="421">
        <v>63</v>
      </c>
      <c r="AA33" s="422">
        <v>62.1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209.8/S126</f>
        <v>92.341549295774655</v>
      </c>
      <c r="T34" s="359"/>
      <c r="U34" s="360"/>
      <c r="V34" s="416">
        <v>66.2</v>
      </c>
      <c r="W34" s="361">
        <f>190.9/W126</f>
        <v>100</v>
      </c>
      <c r="X34" s="359"/>
      <c r="Y34" s="362"/>
      <c r="Z34" s="421">
        <v>66.2</v>
      </c>
      <c r="AA34" s="422">
        <v>65.3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209.5/S126</f>
        <v>92.209507042253534</v>
      </c>
      <c r="T35" s="359"/>
      <c r="U35" s="360"/>
      <c r="V35" s="416">
        <v>62.6</v>
      </c>
      <c r="W35" s="361">
        <f>190.9/W126</f>
        <v>100</v>
      </c>
      <c r="X35" s="359"/>
      <c r="Y35" s="362"/>
      <c r="Z35" s="421">
        <v>63.2</v>
      </c>
      <c r="AA35" s="422">
        <v>62.3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209.8/S126</f>
        <v>92.341549295774655</v>
      </c>
      <c r="T36" s="359"/>
      <c r="U36" s="360"/>
      <c r="V36" s="416">
        <v>63.7</v>
      </c>
      <c r="W36" s="361">
        <f>188.1/W126</f>
        <v>98.53326348873756</v>
      </c>
      <c r="X36" s="359"/>
      <c r="Y36" s="362"/>
      <c r="Z36" s="421">
        <v>64.099999999999994</v>
      </c>
      <c r="AA36" s="422">
        <v>63.2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209.8/S126</f>
        <v>92.341549295774655</v>
      </c>
      <c r="T37" s="365"/>
      <c r="U37" s="366"/>
      <c r="V37" s="417">
        <v>66.900000000000006</v>
      </c>
      <c r="W37" s="367">
        <f>188.1/W126</f>
        <v>98.53326348873756</v>
      </c>
      <c r="X37" s="365"/>
      <c r="Y37" s="368"/>
      <c r="Z37" s="423">
        <v>66.5</v>
      </c>
      <c r="AA37" s="424">
        <v>65.599999999999994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212.5/S126</f>
        <v>93.529929577464799</v>
      </c>
      <c r="T38" s="352"/>
      <c r="U38" s="353"/>
      <c r="V38" s="418">
        <v>65.400000000000006</v>
      </c>
      <c r="W38" s="355">
        <f>188.1/W126</f>
        <v>98.53326348873756</v>
      </c>
      <c r="X38" s="352"/>
      <c r="Y38" s="356"/>
      <c r="Z38" s="425">
        <v>65.2</v>
      </c>
      <c r="AA38" s="426">
        <v>64.3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213/S126</f>
        <v>93.750000000000014</v>
      </c>
      <c r="T39" s="359"/>
      <c r="U39" s="360"/>
      <c r="V39" s="416">
        <v>67.099999999999994</v>
      </c>
      <c r="W39" s="361">
        <f>188/W126</f>
        <v>98.480880041906758</v>
      </c>
      <c r="X39" s="359"/>
      <c r="Y39" s="362"/>
      <c r="Z39" s="421">
        <v>66.099999999999994</v>
      </c>
      <c r="AA39" s="422">
        <v>65.2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213/S126</f>
        <v>93.750000000000014</v>
      </c>
      <c r="T40" s="359"/>
      <c r="U40" s="360"/>
      <c r="V40" s="416">
        <v>68.2</v>
      </c>
      <c r="W40" s="361">
        <f>188.9/W126</f>
        <v>98.952331063383966</v>
      </c>
      <c r="X40" s="359"/>
      <c r="Y40" s="362"/>
      <c r="Z40" s="421">
        <v>66.5</v>
      </c>
      <c r="AA40" s="422">
        <v>65.599999999999994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212.8/S126</f>
        <v>93.661971830985934</v>
      </c>
      <c r="T41" s="359"/>
      <c r="U41" s="360"/>
      <c r="V41" s="416">
        <v>72.099999999999994</v>
      </c>
      <c r="W41" s="361">
        <f>188.9/W126</f>
        <v>98.952331063383966</v>
      </c>
      <c r="X41" s="359"/>
      <c r="Y41" s="362"/>
      <c r="Z41" s="421">
        <v>71.2</v>
      </c>
      <c r="AA41" s="422">
        <v>70.400000000000006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215.4/S126</f>
        <v>94.806338028169023</v>
      </c>
      <c r="T42" s="359"/>
      <c r="U42" s="360"/>
      <c r="V42" s="416">
        <v>74</v>
      </c>
      <c r="W42" s="361">
        <f>187.6/W126</f>
        <v>98.271346254583548</v>
      </c>
      <c r="X42" s="359"/>
      <c r="Y42" s="362"/>
      <c r="Z42" s="421">
        <v>73.900000000000006</v>
      </c>
      <c r="AA42" s="422">
        <v>73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216.7/S126</f>
        <v>95.37852112676056</v>
      </c>
      <c r="T43" s="359"/>
      <c r="U43" s="360"/>
      <c r="V43" s="416">
        <v>73</v>
      </c>
      <c r="W43" s="361">
        <f>187.4/W126</f>
        <v>98.166579360921943</v>
      </c>
      <c r="X43" s="359"/>
      <c r="Y43" s="362"/>
      <c r="Z43" s="421">
        <v>72.5</v>
      </c>
      <c r="AA43" s="422">
        <v>71.7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214.1/S126</f>
        <v>94.234154929577471</v>
      </c>
      <c r="T44" s="359"/>
      <c r="U44" s="360"/>
      <c r="V44" s="416">
        <v>71.900000000000006</v>
      </c>
      <c r="W44" s="361">
        <f>187.2/W126</f>
        <v>98.061812467260339</v>
      </c>
      <c r="X44" s="359"/>
      <c r="Y44" s="362"/>
      <c r="Z44" s="421">
        <v>71.099999999999994</v>
      </c>
      <c r="AA44" s="422">
        <v>70.3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212.6/S126</f>
        <v>93.573943661971839</v>
      </c>
      <c r="T45" s="359"/>
      <c r="U45" s="360"/>
      <c r="V45" s="416">
        <v>71.2</v>
      </c>
      <c r="W45" s="361">
        <f>186.7/W126</f>
        <v>97.799895233106326</v>
      </c>
      <c r="X45" s="359"/>
      <c r="Y45" s="362"/>
      <c r="Z45" s="421">
        <v>69.8</v>
      </c>
      <c r="AA45" s="422">
        <v>69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212.6/S126</f>
        <v>93.573943661971839</v>
      </c>
      <c r="T46" s="359"/>
      <c r="U46" s="360"/>
      <c r="V46" s="416">
        <v>70.599999999999994</v>
      </c>
      <c r="W46" s="361">
        <f>186.7/W126</f>
        <v>97.799895233106326</v>
      </c>
      <c r="X46" s="359"/>
      <c r="Y46" s="362"/>
      <c r="Z46" s="421">
        <v>69.8</v>
      </c>
      <c r="AA46" s="422">
        <v>69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213.7/S126</f>
        <v>94.058098591549296</v>
      </c>
      <c r="T47" s="359">
        <f>248.8/T126</f>
        <v>86.089965397923876</v>
      </c>
      <c r="U47" s="360">
        <f>264.6/U126</f>
        <v>82.173913043478265</v>
      </c>
      <c r="V47" s="416">
        <v>70.8</v>
      </c>
      <c r="W47" s="361">
        <f>186.8/W126</f>
        <v>97.852278679937143</v>
      </c>
      <c r="X47" s="359">
        <f>205.1/X126</f>
        <v>93.397085610200349</v>
      </c>
      <c r="Y47" s="362">
        <f>189.4/Y126</f>
        <v>95.08032128514057</v>
      </c>
      <c r="Z47" s="421">
        <v>69.599999999999994</v>
      </c>
      <c r="AA47" s="422">
        <v>68.8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212.9/S126</f>
        <v>93.705985915492974</v>
      </c>
      <c r="T48" s="359">
        <f>248.7/T126</f>
        <v>86.055363321799305</v>
      </c>
      <c r="U48" s="360">
        <f>264.7/U126</f>
        <v>82.204968944099377</v>
      </c>
      <c r="V48" s="416">
        <v>72.7</v>
      </c>
      <c r="W48" s="361">
        <f>187.5/W126</f>
        <v>98.218962807752746</v>
      </c>
      <c r="X48" s="359">
        <f>205.4/X126</f>
        <v>93.533697632058278</v>
      </c>
      <c r="Y48" s="362">
        <f>190.1/Y126</f>
        <v>95.431726907630519</v>
      </c>
      <c r="Z48" s="421">
        <v>71.900000000000006</v>
      </c>
      <c r="AA48" s="422">
        <v>71.099999999999994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213.1/S126</f>
        <v>93.794014084507054</v>
      </c>
      <c r="T49" s="365">
        <f>248.5/T126</f>
        <v>85.986159169550163</v>
      </c>
      <c r="U49" s="366">
        <f>266.2/U126</f>
        <v>82.670807453416145</v>
      </c>
      <c r="V49" s="417">
        <v>75.2</v>
      </c>
      <c r="W49" s="367">
        <f>185.8/W126</f>
        <v>97.328444211629133</v>
      </c>
      <c r="X49" s="365">
        <f>201.5/X126</f>
        <v>91.757741347905281</v>
      </c>
      <c r="Y49" s="368">
        <f>189.2/Y126</f>
        <v>94.97991967871485</v>
      </c>
      <c r="Z49" s="423">
        <v>71.900000000000006</v>
      </c>
      <c r="AA49" s="424">
        <v>71.099999999999994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215.4/S126</f>
        <v>94.806338028169023</v>
      </c>
      <c r="T50" s="352">
        <f>250.3/T126</f>
        <v>86.608996539792386</v>
      </c>
      <c r="U50" s="353">
        <f>266.7/U126</f>
        <v>82.826086956521735</v>
      </c>
      <c r="V50" s="418">
        <v>78</v>
      </c>
      <c r="W50" s="355">
        <f>184.2/W126</f>
        <v>96.490309062336294</v>
      </c>
      <c r="X50" s="352">
        <f>201.9/X126</f>
        <v>91.939890710382514</v>
      </c>
      <c r="Y50" s="356">
        <f>189/Y126</f>
        <v>94.879518072289159</v>
      </c>
      <c r="Z50" s="425">
        <v>74.099999999999994</v>
      </c>
      <c r="AA50" s="426">
        <v>73.3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215.9/S126</f>
        <v>95.026408450704238</v>
      </c>
      <c r="T51" s="359">
        <f>257.9/T126</f>
        <v>89.238754325259507</v>
      </c>
      <c r="U51" s="360">
        <f>272.2/U126</f>
        <v>84.534161490683218</v>
      </c>
      <c r="V51" s="416">
        <v>85.3</v>
      </c>
      <c r="W51" s="361">
        <f>186.6/W126</f>
        <v>97.747511786275538</v>
      </c>
      <c r="X51" s="359">
        <f>202.7/X126</f>
        <v>92.304189435336966</v>
      </c>
      <c r="Y51" s="362">
        <f>190.4/Y126</f>
        <v>95.582329317269085</v>
      </c>
      <c r="Z51" s="421">
        <v>77</v>
      </c>
      <c r="AA51" s="422">
        <v>76.2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217.4/S126</f>
        <v>95.686619718309871</v>
      </c>
      <c r="T52" s="359">
        <f>261.5/T126</f>
        <v>90.484429065743939</v>
      </c>
      <c r="U52" s="360">
        <f>283.1/U126</f>
        <v>87.9192546583851</v>
      </c>
      <c r="V52" s="416">
        <v>90.9</v>
      </c>
      <c r="W52" s="361">
        <f>187.3/W126</f>
        <v>98.114195914091155</v>
      </c>
      <c r="X52" s="359">
        <f>204/X126</f>
        <v>92.896174863387969</v>
      </c>
      <c r="Y52" s="362">
        <f>191.3/Y126</f>
        <v>96.03413654618474</v>
      </c>
      <c r="Z52" s="421">
        <v>83</v>
      </c>
      <c r="AA52" s="422">
        <v>82.3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216/S126</f>
        <v>95.070422535211279</v>
      </c>
      <c r="T53" s="359">
        <f>261.6/T126</f>
        <v>90.51903114186851</v>
      </c>
      <c r="U53" s="360">
        <f>292.7/U126</f>
        <v>90.90062111801241</v>
      </c>
      <c r="V53" s="416">
        <v>96.4</v>
      </c>
      <c r="W53" s="361">
        <f>187.5/W126</f>
        <v>98.218962807752746</v>
      </c>
      <c r="X53" s="359">
        <f>204/X126</f>
        <v>92.896174863387969</v>
      </c>
      <c r="Y53" s="362">
        <f>191.8/Y126</f>
        <v>96.285140562248998</v>
      </c>
      <c r="Z53" s="421">
        <v>89.7</v>
      </c>
      <c r="AA53" s="422">
        <v>88.4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215.7/S126</f>
        <v>94.938380281690144</v>
      </c>
      <c r="T54" s="359">
        <f>261.3/T126</f>
        <v>90.415224913494811</v>
      </c>
      <c r="U54" s="360">
        <f>294/U126</f>
        <v>91.304347826086953</v>
      </c>
      <c r="V54" s="416">
        <v>95.4</v>
      </c>
      <c r="W54" s="361">
        <f>187.5/W126</f>
        <v>98.218962807752746</v>
      </c>
      <c r="X54" s="359">
        <f>205.5/X126</f>
        <v>93.579234972677583</v>
      </c>
      <c r="Y54" s="362">
        <f>193.3/Y126</f>
        <v>97.03815261044177</v>
      </c>
      <c r="Z54" s="421">
        <v>91.2</v>
      </c>
      <c r="AA54" s="422">
        <v>89.9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216.1/S126</f>
        <v>95.114436619718319</v>
      </c>
      <c r="T55" s="359">
        <f>265.2/T126</f>
        <v>91.764705882352928</v>
      </c>
      <c r="U55" s="360">
        <f>294.4/U126</f>
        <v>91.428571428571416</v>
      </c>
      <c r="V55" s="416">
        <v>92.6</v>
      </c>
      <c r="W55" s="361">
        <f>188.8/W126</f>
        <v>98.899947616553177</v>
      </c>
      <c r="X55" s="359">
        <f>205.5/X126</f>
        <v>93.579234972677583</v>
      </c>
      <c r="Y55" s="362">
        <f>194/Y126</f>
        <v>97.389558232931734</v>
      </c>
      <c r="Z55" s="421">
        <v>87.6</v>
      </c>
      <c r="AA55" s="422">
        <v>86.3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219/S126</f>
        <v>96.390845070422543</v>
      </c>
      <c r="T56" s="359">
        <f>267.7/T126</f>
        <v>92.62975778546712</v>
      </c>
      <c r="U56" s="360">
        <f>296.2/U126</f>
        <v>91.987577639751549</v>
      </c>
      <c r="V56" s="416">
        <v>92</v>
      </c>
      <c r="W56" s="361">
        <f>189.2/W126</f>
        <v>99.109481403876373</v>
      </c>
      <c r="X56" s="359">
        <f>210.1/X126</f>
        <v>95.673952641165741</v>
      </c>
      <c r="Y56" s="362">
        <f>193.9/Y126</f>
        <v>97.339357429718874</v>
      </c>
      <c r="Z56" s="421">
        <v>86.5</v>
      </c>
      <c r="AA56" s="422">
        <v>85.2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219.7/S126</f>
        <v>96.698943661971839</v>
      </c>
      <c r="T57" s="359">
        <f>268.8/T126</f>
        <v>93.010380622837374</v>
      </c>
      <c r="U57" s="360">
        <f>296.9/U126</f>
        <v>92.204968944099363</v>
      </c>
      <c r="V57" s="416">
        <v>91.8</v>
      </c>
      <c r="W57" s="361">
        <f>189.3/W126</f>
        <v>99.161864850707175</v>
      </c>
      <c r="X57" s="359">
        <f>214.1/X126</f>
        <v>97.495446265938057</v>
      </c>
      <c r="Y57" s="362">
        <f>194.3/Y126</f>
        <v>97.540160642570285</v>
      </c>
      <c r="Z57" s="421">
        <v>88</v>
      </c>
      <c r="AA57" s="422">
        <v>86.6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220.2/S126</f>
        <v>96.91901408450704</v>
      </c>
      <c r="T58" s="359">
        <f>272.6/T126</f>
        <v>94.325259515570934</v>
      </c>
      <c r="U58" s="360">
        <f>294.9/U126</f>
        <v>91.583850931677006</v>
      </c>
      <c r="V58" s="416">
        <v>91.8</v>
      </c>
      <c r="W58" s="361">
        <f>189.1/W126</f>
        <v>99.057097957045571</v>
      </c>
      <c r="X58" s="359">
        <f>213.8/X126</f>
        <v>97.358834244080143</v>
      </c>
      <c r="Y58" s="362">
        <f>194.3/Y126</f>
        <v>97.540160642570285</v>
      </c>
      <c r="Z58" s="421">
        <v>88</v>
      </c>
      <c r="AA58" s="422">
        <v>86.6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221.6/S126</f>
        <v>97.535211267605646</v>
      </c>
      <c r="T59" s="359">
        <f>276.9/T126</f>
        <v>95.813148788927322</v>
      </c>
      <c r="U59" s="360">
        <f>296.3/U126</f>
        <v>92.018633540372676</v>
      </c>
      <c r="V59" s="416">
        <v>95.4</v>
      </c>
      <c r="W59" s="361">
        <f>187.6/W126</f>
        <v>98.271346254583548</v>
      </c>
      <c r="X59" s="359">
        <f>213.2/X126</f>
        <v>97.085610200364286</v>
      </c>
      <c r="Y59" s="362">
        <f>193.9/Y126</f>
        <v>97.339357429718874</v>
      </c>
      <c r="Z59" s="421">
        <v>91.3</v>
      </c>
      <c r="AA59" s="422">
        <v>90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223.2/S126</f>
        <v>98.239436619718319</v>
      </c>
      <c r="T60" s="359">
        <f>286.2/T126</f>
        <v>99.031141868512108</v>
      </c>
      <c r="U60" s="360">
        <f>303.7/U126</f>
        <v>94.31677018633539</v>
      </c>
      <c r="V60" s="416">
        <v>100.4</v>
      </c>
      <c r="W60" s="361">
        <f>187.7/W126</f>
        <v>98.323729701414351</v>
      </c>
      <c r="X60" s="359">
        <f>213.4/X126</f>
        <v>97.17668488160291</v>
      </c>
      <c r="Y60" s="362">
        <f>194.3/Y126</f>
        <v>97.540160642570285</v>
      </c>
      <c r="Z60" s="421">
        <v>94.7</v>
      </c>
      <c r="AA60" s="422">
        <v>93.4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223.6/S126</f>
        <v>98.41549295774648</v>
      </c>
      <c r="T61" s="365">
        <f>286.5/T126</f>
        <v>99.134948096885807</v>
      </c>
      <c r="U61" s="366">
        <f>311.1/U126</f>
        <v>96.614906832298132</v>
      </c>
      <c r="V61" s="417">
        <v>102</v>
      </c>
      <c r="W61" s="367">
        <f>188.4/W126</f>
        <v>98.690413829229968</v>
      </c>
      <c r="X61" s="365">
        <f>213.7/X126</f>
        <v>97.313296903460824</v>
      </c>
      <c r="Y61" s="368">
        <f>195.1/Y126</f>
        <v>97.941767068273094</v>
      </c>
      <c r="Z61" s="423">
        <v>97.7</v>
      </c>
      <c r="AA61" s="424">
        <v>97.9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224.5/S126</f>
        <v>98.811619718309871</v>
      </c>
      <c r="T62" s="352">
        <f>287.7/T126</f>
        <v>99.550173010380618</v>
      </c>
      <c r="U62" s="353">
        <f>312/U126</f>
        <v>96.894409937888199</v>
      </c>
      <c r="V62" s="418">
        <v>99.5</v>
      </c>
      <c r="W62" s="355">
        <f>188.6/W126</f>
        <v>98.795180722891558</v>
      </c>
      <c r="X62" s="352">
        <f>213.7/X126</f>
        <v>97.313296903460824</v>
      </c>
      <c r="Y62" s="356">
        <f>194.9/Y126</f>
        <v>97.841365461847388</v>
      </c>
      <c r="Z62" s="425">
        <v>97.2</v>
      </c>
      <c r="AA62" s="426">
        <v>95.9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226.6/S126</f>
        <v>99.735915492957758</v>
      </c>
      <c r="T63" s="359">
        <f>290.5/T126</f>
        <v>100.51903114186851</v>
      </c>
      <c r="U63" s="360">
        <f>318/U126</f>
        <v>98.757763975155271</v>
      </c>
      <c r="V63" s="416">
        <v>99.4</v>
      </c>
      <c r="W63" s="361">
        <f>189.4/W126</f>
        <v>99.214248297537978</v>
      </c>
      <c r="X63" s="359">
        <f>214.7/X126</f>
        <v>97.768670309653899</v>
      </c>
      <c r="Y63" s="362">
        <f>195.3/Y126</f>
        <v>98.0421686746988</v>
      </c>
      <c r="Z63" s="421">
        <v>97.2</v>
      </c>
      <c r="AA63" s="422">
        <v>95.8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228.2/S126</f>
        <v>100.44014084507043</v>
      </c>
      <c r="T64" s="359">
        <f>290.5/T126</f>
        <v>100.51903114186851</v>
      </c>
      <c r="U64" s="360">
        <f>317.3/U126</f>
        <v>98.540372670807457</v>
      </c>
      <c r="V64" s="416">
        <v>100.6</v>
      </c>
      <c r="W64" s="361">
        <f>188.2/W126</f>
        <v>98.585646935568349</v>
      </c>
      <c r="X64" s="359">
        <f>214.4/X126</f>
        <v>97.632058287795985</v>
      </c>
      <c r="Y64" s="362">
        <f>194.8/Y126</f>
        <v>97.791164658634543</v>
      </c>
      <c r="Z64" s="421">
        <v>98.1</v>
      </c>
      <c r="AA64" s="422">
        <v>96.8</v>
      </c>
      <c r="AB64" s="244"/>
      <c r="AC64" s="263"/>
    </row>
    <row r="65" spans="1:29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227.9/S126</f>
        <v>100.30809859154931</v>
      </c>
      <c r="T65" s="359">
        <f>290.4/T126</f>
        <v>100.48442906574394</v>
      </c>
      <c r="U65" s="360">
        <f>317.1/U126</f>
        <v>98.478260869565219</v>
      </c>
      <c r="V65" s="416">
        <v>102.6</v>
      </c>
      <c r="W65" s="361">
        <f>188.6/W126</f>
        <v>98.795180722891558</v>
      </c>
      <c r="X65" s="359">
        <f>218/X126</f>
        <v>99.271402550091068</v>
      </c>
      <c r="Y65" s="362">
        <f>198.6/Y126</f>
        <v>99.698795180722882</v>
      </c>
      <c r="Z65" s="421">
        <v>102.9</v>
      </c>
      <c r="AA65" s="422">
        <v>101.3</v>
      </c>
      <c r="AB65" s="244"/>
      <c r="AC65" s="263"/>
    </row>
    <row r="66" spans="1:29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226.9/S126</f>
        <v>99.867957746478879</v>
      </c>
      <c r="T66" s="359">
        <f>288.9/T126</f>
        <v>99.965397923875415</v>
      </c>
      <c r="U66" s="360">
        <f>323/U126</f>
        <v>100.31055900621118</v>
      </c>
      <c r="V66" s="416">
        <v>103.6</v>
      </c>
      <c r="W66" s="361">
        <f>190.3/W126</f>
        <v>99.6856993190152</v>
      </c>
      <c r="X66" s="359">
        <f>218.8/X126</f>
        <v>99.635701275045534</v>
      </c>
      <c r="Y66" s="362">
        <f>199.4/Y126</f>
        <v>100.10040160642571</v>
      </c>
      <c r="Z66" s="421">
        <v>103.8</v>
      </c>
      <c r="AA66" s="422">
        <v>102.2</v>
      </c>
      <c r="AB66" s="244"/>
      <c r="AC66" s="263"/>
    </row>
    <row r="67" spans="1:29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226.8/S126</f>
        <v>99.823943661971839</v>
      </c>
      <c r="T67" s="359">
        <f>289.1/T126</f>
        <v>100.03460207612457</v>
      </c>
      <c r="U67" s="360">
        <f>324/U126</f>
        <v>100.62111801242236</v>
      </c>
      <c r="V67" s="416">
        <v>99.7</v>
      </c>
      <c r="W67" s="361">
        <f>190.8/W126</f>
        <v>99.947616553169198</v>
      </c>
      <c r="X67" s="359">
        <f>219.1/X126</f>
        <v>99.772313296903448</v>
      </c>
      <c r="Y67" s="362">
        <f>199.9/Y126</f>
        <v>100.35140562248996</v>
      </c>
      <c r="Z67" s="421">
        <v>101.5</v>
      </c>
      <c r="AA67" s="422">
        <v>100.2</v>
      </c>
      <c r="AB67" s="244"/>
      <c r="AC67" s="263"/>
    </row>
    <row r="68" spans="1:29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227.1/S126</f>
        <v>99.95598591549296</v>
      </c>
      <c r="T68" s="359">
        <f>289.9/T126</f>
        <v>100.3114186851211</v>
      </c>
      <c r="U68" s="360">
        <f>325.3/U126</f>
        <v>101.02484472049689</v>
      </c>
      <c r="V68" s="416">
        <v>92.1</v>
      </c>
      <c r="W68" s="361">
        <f>191/W126</f>
        <v>100.0523834468308</v>
      </c>
      <c r="X68" s="359">
        <f>220.2/X126</f>
        <v>100.27322404371583</v>
      </c>
      <c r="Y68" s="362">
        <f>200/Y126</f>
        <v>100.40160642570281</v>
      </c>
      <c r="Z68" s="421">
        <v>95.6</v>
      </c>
      <c r="AA68" s="422">
        <v>93.9</v>
      </c>
      <c r="AB68" s="244"/>
      <c r="AC68" s="263"/>
    </row>
    <row r="69" spans="1:29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227.9/S126</f>
        <v>100.30809859154931</v>
      </c>
      <c r="T69" s="359">
        <f>290/T126</f>
        <v>100.34602076124567</v>
      </c>
      <c r="U69" s="360">
        <f>324.2/U126</f>
        <v>100.68322981366458</v>
      </c>
      <c r="V69" s="416">
        <v>94.3</v>
      </c>
      <c r="W69" s="361">
        <f>191.5/W126</f>
        <v>100.3143006809848</v>
      </c>
      <c r="X69" s="359">
        <f>219.1/X126</f>
        <v>99.772313296903448</v>
      </c>
      <c r="Y69" s="362">
        <f>200.5/Y126</f>
        <v>100.65261044176707</v>
      </c>
      <c r="Z69" s="421">
        <v>97</v>
      </c>
      <c r="AA69" s="422">
        <v>95.2</v>
      </c>
      <c r="AB69" s="244"/>
      <c r="AC69" s="263"/>
    </row>
    <row r="70" spans="1:29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227.5/S126</f>
        <v>100.13204225352113</v>
      </c>
      <c r="T70" s="359">
        <f>289.8/T126</f>
        <v>100.27681660899654</v>
      </c>
      <c r="U70" s="360">
        <f>323.5/U126</f>
        <v>100.46583850931677</v>
      </c>
      <c r="V70" s="416">
        <v>100.3</v>
      </c>
      <c r="W70" s="361">
        <f>192.5/W126</f>
        <v>100.83813514929282</v>
      </c>
      <c r="X70" s="359">
        <f>223.2/X126</f>
        <v>101.63934426229507</v>
      </c>
      <c r="Y70" s="362">
        <f>200.6/Y126</f>
        <v>100.70281124497991</v>
      </c>
      <c r="Z70" s="421">
        <v>103.5</v>
      </c>
      <c r="AA70" s="422">
        <v>101.8</v>
      </c>
      <c r="AB70" s="244"/>
      <c r="AC70" s="263"/>
    </row>
    <row r="71" spans="1:29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226.8/S126</f>
        <v>99.823943661971839</v>
      </c>
      <c r="T71" s="359">
        <f>285.9/T126</f>
        <v>98.927335640138395</v>
      </c>
      <c r="U71" s="360">
        <f>324/U126</f>
        <v>100.62111801242236</v>
      </c>
      <c r="V71" s="416">
        <v>105.3</v>
      </c>
      <c r="W71" s="361">
        <f>192.5/W126</f>
        <v>100.83813514929282</v>
      </c>
      <c r="X71" s="359">
        <f>224.1/X126</f>
        <v>102.04918032786884</v>
      </c>
      <c r="Y71" s="362">
        <f>201.4/Y126</f>
        <v>101.10441767068274</v>
      </c>
      <c r="Z71" s="421">
        <v>104</v>
      </c>
      <c r="AA71" s="422">
        <v>105.6</v>
      </c>
      <c r="AB71" s="244"/>
      <c r="AC71" s="263"/>
    </row>
    <row r="72" spans="1:29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227.5/S126</f>
        <v>100.13204225352113</v>
      </c>
      <c r="T72" s="359">
        <f>285.9/T126</f>
        <v>98.927335640138395</v>
      </c>
      <c r="U72" s="360">
        <f>326.4/U126</f>
        <v>101.36645962732918</v>
      </c>
      <c r="V72" s="416">
        <v>106.8</v>
      </c>
      <c r="W72" s="361">
        <f>193.2/W126</f>
        <v>101.20481927710843</v>
      </c>
      <c r="X72" s="359">
        <f>225.1/X126</f>
        <v>102.50455373406191</v>
      </c>
      <c r="Y72" s="362">
        <f>202.1/Y126</f>
        <v>101.45582329317268</v>
      </c>
      <c r="Z72" s="421">
        <v>106.5</v>
      </c>
      <c r="AA72" s="422">
        <v>106.5</v>
      </c>
      <c r="AB72" s="244"/>
      <c r="AC72" s="263"/>
    </row>
    <row r="73" spans="1:29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228.2/S126</f>
        <v>100.44014084507043</v>
      </c>
      <c r="T73" s="401">
        <f>289/T126</f>
        <v>100</v>
      </c>
      <c r="U73" s="402">
        <f>329.3/U126</f>
        <v>102.26708074534162</v>
      </c>
      <c r="V73" s="427">
        <v>106</v>
      </c>
      <c r="W73" s="404">
        <f>193.7/W126</f>
        <v>101.46673651126244</v>
      </c>
      <c r="X73" s="401">
        <f>225.3/X126</f>
        <v>102.59562841530054</v>
      </c>
      <c r="Y73" s="405">
        <f>202.6/Y126</f>
        <v>101.70682730923694</v>
      </c>
      <c r="Z73" s="432">
        <v>106</v>
      </c>
      <c r="AA73" s="433">
        <v>106</v>
      </c>
      <c r="AB73" s="244"/>
      <c r="AC73" s="408" t="s">
        <v>96</v>
      </c>
    </row>
    <row r="74" spans="1:29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415">
        <v>103.4</v>
      </c>
      <c r="W74" s="398">
        <v>102.3</v>
      </c>
      <c r="X74" s="396">
        <v>103.1</v>
      </c>
      <c r="Y74" s="397">
        <v>102.4</v>
      </c>
      <c r="Z74" s="419">
        <v>103.4</v>
      </c>
      <c r="AA74" s="420">
        <v>103.4</v>
      </c>
      <c r="AB74" s="244"/>
      <c r="AC74" s="263" t="s">
        <v>95</v>
      </c>
    </row>
    <row r="75" spans="1:29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416">
        <v>105</v>
      </c>
      <c r="W75" s="361">
        <v>102.5</v>
      </c>
      <c r="X75" s="359">
        <v>103.1</v>
      </c>
      <c r="Y75" s="360">
        <v>102.4</v>
      </c>
      <c r="Z75" s="421">
        <v>105</v>
      </c>
      <c r="AA75" s="422">
        <v>105</v>
      </c>
      <c r="AB75" s="244"/>
      <c r="AC75" s="263"/>
    </row>
    <row r="76" spans="1:29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416">
        <v>110.5</v>
      </c>
      <c r="W76" s="361">
        <v>103.6</v>
      </c>
      <c r="X76" s="359">
        <v>103.5</v>
      </c>
      <c r="Y76" s="360">
        <v>103.6</v>
      </c>
      <c r="Z76" s="421">
        <v>110.5</v>
      </c>
      <c r="AA76" s="422">
        <v>110.6</v>
      </c>
      <c r="AB76" s="244"/>
      <c r="AC76" s="263"/>
    </row>
    <row r="77" spans="1:29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416">
        <v>111.3</v>
      </c>
      <c r="W77" s="361">
        <v>103.7</v>
      </c>
      <c r="X77" s="359">
        <v>103.6</v>
      </c>
      <c r="Y77" s="360">
        <v>103.6</v>
      </c>
      <c r="Z77" s="421">
        <v>111.3</v>
      </c>
      <c r="AA77" s="422">
        <v>111.3</v>
      </c>
      <c r="AB77" s="244"/>
      <c r="AC77" s="263"/>
    </row>
    <row r="78" spans="1:29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416">
        <v>106.1</v>
      </c>
      <c r="W78" s="361">
        <v>104.5</v>
      </c>
      <c r="X78" s="359">
        <v>104.2</v>
      </c>
      <c r="Y78" s="360">
        <v>103.9</v>
      </c>
      <c r="Z78" s="421">
        <v>106.2</v>
      </c>
      <c r="AA78" s="422">
        <v>106</v>
      </c>
      <c r="AB78" s="244"/>
      <c r="AC78" s="263"/>
    </row>
    <row r="79" spans="1:29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416">
        <v>105.7</v>
      </c>
      <c r="W79" s="361">
        <v>105.4</v>
      </c>
      <c r="X79" s="359">
        <v>104.6</v>
      </c>
      <c r="Y79" s="360">
        <v>104.7</v>
      </c>
      <c r="Z79" s="421">
        <v>105.8</v>
      </c>
      <c r="AA79" s="422">
        <v>105.6</v>
      </c>
      <c r="AB79" s="244"/>
      <c r="AC79" s="263"/>
    </row>
    <row r="80" spans="1:29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416">
        <v>113.1</v>
      </c>
      <c r="W80" s="361">
        <v>107.1</v>
      </c>
      <c r="X80" s="359">
        <v>106.9</v>
      </c>
      <c r="Y80" s="360">
        <v>106.1</v>
      </c>
      <c r="Z80" s="421">
        <v>113.1</v>
      </c>
      <c r="AA80" s="422">
        <v>113.1</v>
      </c>
      <c r="AB80" s="244"/>
      <c r="AC80" s="263"/>
    </row>
    <row r="81" spans="1:29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416">
        <v>116.2</v>
      </c>
      <c r="W81" s="361">
        <v>108.1</v>
      </c>
      <c r="X81" s="359">
        <v>107.4</v>
      </c>
      <c r="Y81" s="360">
        <v>106.6</v>
      </c>
      <c r="Z81" s="421">
        <v>116.1</v>
      </c>
      <c r="AA81" s="422">
        <v>116.2</v>
      </c>
      <c r="AB81" s="244"/>
      <c r="AC81" s="263"/>
    </row>
    <row r="82" spans="1:29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416">
        <v>117.5</v>
      </c>
      <c r="W82" s="361">
        <v>108.6</v>
      </c>
      <c r="X82" s="359">
        <v>107.6</v>
      </c>
      <c r="Y82" s="360">
        <v>107</v>
      </c>
      <c r="Z82" s="421">
        <v>117.4</v>
      </c>
      <c r="AA82" s="422">
        <v>117.5</v>
      </c>
      <c r="AB82" s="244"/>
      <c r="AC82" s="263"/>
    </row>
    <row r="83" spans="1:29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416">
        <v>117.3</v>
      </c>
      <c r="W83" s="361">
        <v>109.5</v>
      </c>
      <c r="X83" s="359">
        <v>108.2</v>
      </c>
      <c r="Y83" s="360">
        <v>107.6</v>
      </c>
      <c r="Z83" s="421">
        <v>117.2</v>
      </c>
      <c r="AA83" s="422">
        <v>117.3</v>
      </c>
      <c r="AB83" s="244"/>
      <c r="AC83" s="263"/>
    </row>
    <row r="84" spans="1:29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416">
        <v>115.8</v>
      </c>
      <c r="W84" s="361">
        <v>109.9</v>
      </c>
      <c r="X84" s="359">
        <v>108.6</v>
      </c>
      <c r="Y84" s="360">
        <v>108.1</v>
      </c>
      <c r="Z84" s="421">
        <v>115.8</v>
      </c>
      <c r="AA84" s="422">
        <v>115.9</v>
      </c>
      <c r="AB84" s="244"/>
      <c r="AC84" s="263"/>
    </row>
    <row r="85" spans="1:29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417">
        <v>116.8</v>
      </c>
      <c r="W85" s="367">
        <v>110.1</v>
      </c>
      <c r="X85" s="365">
        <v>108.7</v>
      </c>
      <c r="Y85" s="366">
        <v>108.4</v>
      </c>
      <c r="Z85" s="423">
        <v>116.7</v>
      </c>
      <c r="AA85" s="424">
        <v>116.8</v>
      </c>
      <c r="AB85" s="244"/>
      <c r="AC85" s="263"/>
    </row>
    <row r="86" spans="1:29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418">
        <v>119.8</v>
      </c>
      <c r="W86" s="355">
        <v>110.7</v>
      </c>
      <c r="X86" s="352">
        <v>108.8</v>
      </c>
      <c r="Y86" s="353">
        <v>108.4</v>
      </c>
      <c r="Z86" s="425">
        <v>119.7</v>
      </c>
      <c r="AA86" s="426">
        <v>119.9</v>
      </c>
      <c r="AB86" s="244"/>
      <c r="AC86" s="263"/>
    </row>
    <row r="87" spans="1:29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416">
        <v>122.1</v>
      </c>
      <c r="W87" s="361">
        <v>112.3</v>
      </c>
      <c r="X87" s="359">
        <v>115.8</v>
      </c>
      <c r="Y87" s="360">
        <v>109</v>
      </c>
      <c r="Z87" s="421">
        <v>122</v>
      </c>
      <c r="AA87" s="422">
        <v>122.2</v>
      </c>
      <c r="AB87" s="244"/>
      <c r="AC87" s="263"/>
    </row>
    <row r="88" spans="1:29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416">
        <v>124.7</v>
      </c>
      <c r="W88" s="361">
        <v>112.1</v>
      </c>
      <c r="X88" s="359">
        <v>116.2</v>
      </c>
      <c r="Y88" s="360">
        <v>109.5</v>
      </c>
      <c r="Z88" s="421">
        <v>124.5</v>
      </c>
      <c r="AA88" s="422">
        <v>124.8</v>
      </c>
      <c r="AB88" s="244"/>
      <c r="AC88" s="263"/>
    </row>
    <row r="89" spans="1:29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416">
        <v>123.6</v>
      </c>
      <c r="W89" s="361">
        <v>112.9</v>
      </c>
      <c r="X89" s="359">
        <v>117.5</v>
      </c>
      <c r="Y89" s="360">
        <v>111.4</v>
      </c>
      <c r="Z89" s="421">
        <v>123.7</v>
      </c>
      <c r="AA89" s="422">
        <v>123.6</v>
      </c>
      <c r="AB89" s="244"/>
      <c r="AC89" s="263"/>
    </row>
    <row r="90" spans="1:29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416">
        <v>120.8</v>
      </c>
      <c r="W90" s="361">
        <v>113.4</v>
      </c>
      <c r="X90" s="359">
        <v>117.7</v>
      </c>
      <c r="Y90" s="360">
        <v>111.8</v>
      </c>
      <c r="Z90" s="421">
        <v>120.9</v>
      </c>
      <c r="AA90" s="422">
        <v>120.7</v>
      </c>
      <c r="AB90" s="244"/>
      <c r="AC90" s="263"/>
    </row>
    <row r="91" spans="1:29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416">
        <v>118.6</v>
      </c>
      <c r="W91" s="361">
        <v>113.6</v>
      </c>
      <c r="X91" s="359">
        <v>116.7</v>
      </c>
      <c r="Y91" s="360">
        <v>110.9</v>
      </c>
      <c r="Z91" s="421">
        <v>118.7</v>
      </c>
      <c r="AA91" s="422">
        <v>118.5</v>
      </c>
      <c r="AB91" s="244"/>
      <c r="AC91" s="263"/>
    </row>
    <row r="92" spans="1:29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416">
        <v>119.9</v>
      </c>
      <c r="W92" s="361">
        <v>113.7</v>
      </c>
      <c r="X92" s="359">
        <v>116.3</v>
      </c>
      <c r="Y92" s="360">
        <v>110.6</v>
      </c>
      <c r="Z92" s="421">
        <v>120</v>
      </c>
      <c r="AA92" s="422">
        <v>119.8</v>
      </c>
      <c r="AB92" s="244"/>
      <c r="AC92" s="263"/>
    </row>
    <row r="93" spans="1:29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416">
        <v>119.4</v>
      </c>
      <c r="W93" s="361">
        <v>113.9</v>
      </c>
      <c r="X93" s="359">
        <v>117.2</v>
      </c>
      <c r="Y93" s="360">
        <v>110.7</v>
      </c>
      <c r="Z93" s="421">
        <v>119.5</v>
      </c>
      <c r="AA93" s="422">
        <v>119.3</v>
      </c>
      <c r="AB93" s="244"/>
      <c r="AC93" s="263"/>
    </row>
    <row r="94" spans="1:29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416">
        <v>117</v>
      </c>
      <c r="W94" s="361">
        <v>113.9</v>
      </c>
      <c r="X94" s="359">
        <v>117.2</v>
      </c>
      <c r="Y94" s="360">
        <v>110.6</v>
      </c>
      <c r="Z94" s="421">
        <v>117.2</v>
      </c>
      <c r="AA94" s="422">
        <v>116.9</v>
      </c>
      <c r="AB94" s="244"/>
      <c r="AC94" s="263"/>
    </row>
    <row r="95" spans="1:29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416">
        <v>115.8</v>
      </c>
      <c r="W95" s="361">
        <v>113.3</v>
      </c>
      <c r="X95" s="359">
        <v>117.1</v>
      </c>
      <c r="Y95" s="360">
        <v>109.4</v>
      </c>
      <c r="Z95" s="421">
        <v>116</v>
      </c>
      <c r="AA95" s="422">
        <v>115.6</v>
      </c>
      <c r="AB95" s="244"/>
      <c r="AC95" s="263"/>
    </row>
    <row r="96" spans="1:29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416">
        <v>110.1</v>
      </c>
      <c r="W96" s="361">
        <v>113.6</v>
      </c>
      <c r="X96" s="359">
        <v>117.1</v>
      </c>
      <c r="Y96" s="360">
        <v>109.4</v>
      </c>
      <c r="Z96" s="421">
        <v>110.3</v>
      </c>
      <c r="AA96" s="422">
        <v>109.8</v>
      </c>
      <c r="AB96" s="244"/>
      <c r="AC96" s="263"/>
    </row>
    <row r="97" spans="1:29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417">
        <v>105</v>
      </c>
      <c r="W97" s="367">
        <v>113.6</v>
      </c>
      <c r="X97" s="365">
        <v>117.1</v>
      </c>
      <c r="Y97" s="366">
        <v>109.4</v>
      </c>
      <c r="Z97" s="423">
        <v>105.3</v>
      </c>
      <c r="AA97" s="424">
        <v>104.8</v>
      </c>
      <c r="AB97" s="244"/>
      <c r="AC97" s="263"/>
    </row>
    <row r="98" spans="1:29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418">
        <v>95.3</v>
      </c>
      <c r="W98" s="355">
        <v>114.8</v>
      </c>
      <c r="X98" s="352">
        <v>118</v>
      </c>
      <c r="Y98" s="353">
        <v>110.1</v>
      </c>
      <c r="Z98" s="425">
        <v>95.6</v>
      </c>
      <c r="AA98" s="426">
        <v>94.9</v>
      </c>
      <c r="AB98" s="244"/>
      <c r="AC98" s="263"/>
    </row>
    <row r="99" spans="1:29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416">
        <v>85.7</v>
      </c>
      <c r="W99" s="361">
        <v>115.4</v>
      </c>
      <c r="X99" s="359">
        <v>118.2</v>
      </c>
      <c r="Y99" s="360">
        <v>110.5</v>
      </c>
      <c r="Z99" s="421">
        <v>86.2</v>
      </c>
      <c r="AA99" s="422">
        <v>85.2</v>
      </c>
      <c r="AB99" s="244"/>
      <c r="AC99" s="263"/>
    </row>
    <row r="100" spans="1:29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416">
        <v>92.6</v>
      </c>
      <c r="W100" s="361">
        <v>115.5</v>
      </c>
      <c r="X100" s="359">
        <v>118.2</v>
      </c>
      <c r="Y100" s="360">
        <v>110.5</v>
      </c>
      <c r="Z100" s="421">
        <v>93</v>
      </c>
      <c r="AA100" s="422">
        <v>92.2</v>
      </c>
      <c r="AB100" s="244"/>
      <c r="AC100" s="263"/>
    </row>
    <row r="101" spans="1:29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416">
        <v>104.1</v>
      </c>
      <c r="W101" s="361">
        <v>115.7</v>
      </c>
      <c r="X101" s="359">
        <v>116.3</v>
      </c>
      <c r="Y101" s="360">
        <v>108.8</v>
      </c>
      <c r="Z101" s="421">
        <v>104.5</v>
      </c>
      <c r="AA101" s="422">
        <v>103.7</v>
      </c>
      <c r="AB101" s="244"/>
      <c r="AC101" s="263"/>
    </row>
    <row r="102" spans="1:29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416">
        <v>103.6</v>
      </c>
      <c r="W102" s="361">
        <v>115.9</v>
      </c>
      <c r="X102" s="359">
        <v>116.3</v>
      </c>
      <c r="Y102" s="360">
        <v>108.7</v>
      </c>
      <c r="Z102" s="421">
        <v>104</v>
      </c>
      <c r="AA102" s="422">
        <v>103.2</v>
      </c>
      <c r="AB102" s="244"/>
      <c r="AC102" s="263" t="s">
        <v>77</v>
      </c>
    </row>
    <row r="103" spans="1:29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416">
        <v>108.2</v>
      </c>
      <c r="W103" s="361">
        <v>115.9</v>
      </c>
      <c r="X103" s="359">
        <v>116.6</v>
      </c>
      <c r="Y103" s="360">
        <v>108.4</v>
      </c>
      <c r="Z103" s="421">
        <v>108.5</v>
      </c>
      <c r="AA103" s="422">
        <v>107.9</v>
      </c>
      <c r="AB103" s="244"/>
      <c r="AC103" s="263" t="s">
        <v>77</v>
      </c>
    </row>
    <row r="104" spans="1:29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416">
        <v>108.6</v>
      </c>
      <c r="W104" s="361">
        <v>116.1</v>
      </c>
      <c r="X104" s="359">
        <v>117.2</v>
      </c>
      <c r="Y104" s="360">
        <v>107.8</v>
      </c>
      <c r="Z104" s="421">
        <v>108.9</v>
      </c>
      <c r="AA104" s="422">
        <v>108.2</v>
      </c>
      <c r="AB104" s="244"/>
      <c r="AC104" s="263" t="s">
        <v>77</v>
      </c>
    </row>
    <row r="105" spans="1:29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416">
        <v>101.4</v>
      </c>
      <c r="W105" s="361">
        <v>116.3</v>
      </c>
      <c r="X105" s="359">
        <v>117.8</v>
      </c>
      <c r="Y105" s="360">
        <v>108.1</v>
      </c>
      <c r="Z105" s="421">
        <v>101.9</v>
      </c>
      <c r="AA105" s="422">
        <v>101</v>
      </c>
      <c r="AB105" s="244"/>
      <c r="AC105" s="263" t="s">
        <v>77</v>
      </c>
    </row>
    <row r="106" spans="1:29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416">
        <v>96.4</v>
      </c>
      <c r="W106" s="361">
        <v>117.4</v>
      </c>
      <c r="X106" s="359">
        <v>118.3</v>
      </c>
      <c r="Y106" s="360">
        <v>108.9</v>
      </c>
      <c r="Z106" s="421">
        <v>96.8</v>
      </c>
      <c r="AA106" s="422">
        <v>95.9</v>
      </c>
      <c r="AB106" s="244"/>
      <c r="AC106" s="263" t="s">
        <v>77</v>
      </c>
    </row>
    <row r="107" spans="1:29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416">
        <v>101.4</v>
      </c>
      <c r="W107" s="361">
        <v>119.3</v>
      </c>
      <c r="X107" s="359">
        <v>119.5</v>
      </c>
      <c r="Y107" s="360">
        <v>109.7</v>
      </c>
      <c r="Z107" s="421">
        <v>101.8</v>
      </c>
      <c r="AA107" s="422">
        <v>100.9</v>
      </c>
      <c r="AB107" s="244"/>
      <c r="AC107" s="263" t="s">
        <v>77</v>
      </c>
    </row>
    <row r="108" spans="1:29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416">
        <v>100.5</v>
      </c>
      <c r="W108" s="361">
        <v>119.4</v>
      </c>
      <c r="X108" s="359">
        <v>120.2</v>
      </c>
      <c r="Y108" s="360">
        <v>110.1</v>
      </c>
      <c r="Z108" s="421">
        <v>100.9</v>
      </c>
      <c r="AA108" s="422">
        <v>100.1</v>
      </c>
      <c r="AB108" s="244"/>
      <c r="AC108" s="263" t="s">
        <v>77</v>
      </c>
    </row>
    <row r="109" spans="1:29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417">
        <v>100.2</v>
      </c>
      <c r="W109" s="367">
        <v>119.4</v>
      </c>
      <c r="X109" s="365">
        <v>120.3</v>
      </c>
      <c r="Y109" s="366">
        <v>110.2</v>
      </c>
      <c r="Z109" s="423">
        <v>100.6</v>
      </c>
      <c r="AA109" s="424">
        <v>99.7</v>
      </c>
      <c r="AB109" s="244"/>
      <c r="AC109" s="263" t="s">
        <v>77</v>
      </c>
    </row>
    <row r="110" spans="1:29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418">
        <v>93</v>
      </c>
      <c r="W110" s="355">
        <v>125.4</v>
      </c>
      <c r="X110" s="352">
        <v>124.3</v>
      </c>
      <c r="Y110" s="353">
        <v>113.5</v>
      </c>
      <c r="Z110" s="425">
        <v>93.5</v>
      </c>
      <c r="AA110" s="426">
        <v>92.5</v>
      </c>
      <c r="AB110" s="244"/>
      <c r="AC110" s="263" t="s">
        <v>77</v>
      </c>
    </row>
    <row r="111" spans="1:29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416">
        <v>87.2</v>
      </c>
      <c r="W111" s="361">
        <v>125.9</v>
      </c>
      <c r="X111" s="359">
        <v>123.9</v>
      </c>
      <c r="Y111" s="360">
        <v>114.1</v>
      </c>
      <c r="Z111" s="421">
        <v>87.7</v>
      </c>
      <c r="AA111" s="422">
        <v>86.6</v>
      </c>
      <c r="AB111" s="244"/>
      <c r="AC111" s="263" t="s">
        <v>77</v>
      </c>
    </row>
    <row r="112" spans="1:29" ht="18" customHeight="1" x14ac:dyDescent="0.3">
      <c r="A112" s="244"/>
      <c r="B112" s="223">
        <v>3</v>
      </c>
      <c r="C112" s="224">
        <v>2016</v>
      </c>
      <c r="D112" s="300">
        <v>120.4</v>
      </c>
      <c r="E112" s="301">
        <v>120.1</v>
      </c>
      <c r="F112" s="302">
        <v>121.2</v>
      </c>
      <c r="G112" s="303">
        <v>119.7</v>
      </c>
      <c r="H112" s="300">
        <v>121.7</v>
      </c>
      <c r="I112" s="304">
        <v>118.5</v>
      </c>
      <c r="J112" s="305">
        <v>120.5</v>
      </c>
      <c r="K112" s="302">
        <v>119.5</v>
      </c>
      <c r="L112" s="300">
        <v>119</v>
      </c>
      <c r="M112" s="304">
        <v>121.6</v>
      </c>
      <c r="N112" s="306">
        <v>120.8</v>
      </c>
      <c r="O112" s="307">
        <v>119.8</v>
      </c>
      <c r="P112" s="300">
        <v>119</v>
      </c>
      <c r="Q112" s="307">
        <v>120.1</v>
      </c>
      <c r="R112" s="248"/>
      <c r="S112" s="358">
        <v>105.8</v>
      </c>
      <c r="T112" s="359">
        <v>109.9</v>
      </c>
      <c r="U112" s="360">
        <v>95.6</v>
      </c>
      <c r="V112" s="416">
        <v>88.6</v>
      </c>
      <c r="W112" s="361">
        <v>127.2</v>
      </c>
      <c r="X112" s="359">
        <v>125.2</v>
      </c>
      <c r="Y112" s="360">
        <v>115.3</v>
      </c>
      <c r="Z112" s="421">
        <v>89.1</v>
      </c>
      <c r="AA112" s="422">
        <v>88</v>
      </c>
      <c r="AB112" s="244"/>
      <c r="AC112" s="263" t="s">
        <v>77</v>
      </c>
    </row>
    <row r="113" spans="1:29" ht="18" customHeight="1" x14ac:dyDescent="0.3">
      <c r="A113" s="244"/>
      <c r="B113" s="223">
        <v>4</v>
      </c>
      <c r="C113" s="224">
        <v>2016</v>
      </c>
      <c r="D113" s="300">
        <v>121.2</v>
      </c>
      <c r="E113" s="301">
        <v>121.1</v>
      </c>
      <c r="F113" s="302">
        <v>122.2</v>
      </c>
      <c r="G113" s="303">
        <v>120.7</v>
      </c>
      <c r="H113" s="300">
        <v>122.7</v>
      </c>
      <c r="I113" s="304">
        <v>119.5</v>
      </c>
      <c r="J113" s="305">
        <v>121.6</v>
      </c>
      <c r="K113" s="302">
        <v>120.6</v>
      </c>
      <c r="L113" s="300">
        <v>120.4</v>
      </c>
      <c r="M113" s="304">
        <v>122.6</v>
      </c>
      <c r="N113" s="306">
        <v>121.8</v>
      </c>
      <c r="O113" s="307">
        <v>120.9</v>
      </c>
      <c r="P113" s="300">
        <v>119.9</v>
      </c>
      <c r="Q113" s="307">
        <v>121.5</v>
      </c>
      <c r="R113" s="248"/>
      <c r="S113" s="358">
        <v>106.6</v>
      </c>
      <c r="T113" s="359">
        <v>113.1</v>
      </c>
      <c r="U113" s="360">
        <v>97.3</v>
      </c>
      <c r="V113" s="416">
        <v>97.3</v>
      </c>
      <c r="W113" s="361">
        <v>127.8</v>
      </c>
      <c r="X113" s="359">
        <v>125.2</v>
      </c>
      <c r="Y113" s="360">
        <v>115.4</v>
      </c>
      <c r="Z113" s="421">
        <v>98</v>
      </c>
      <c r="AA113" s="422">
        <v>96.6</v>
      </c>
      <c r="AB113" s="244"/>
      <c r="AC113" s="263" t="s">
        <v>77</v>
      </c>
    </row>
    <row r="114" spans="1:29" ht="18" customHeight="1" x14ac:dyDescent="0.3">
      <c r="A114" s="244"/>
      <c r="B114" s="223">
        <v>5</v>
      </c>
      <c r="C114" s="224">
        <v>2016</v>
      </c>
      <c r="D114" s="300">
        <v>121.2</v>
      </c>
      <c r="E114" s="301">
        <v>121.4</v>
      </c>
      <c r="F114" s="302">
        <v>122.5</v>
      </c>
      <c r="G114" s="303">
        <v>121</v>
      </c>
      <c r="H114" s="300">
        <v>123</v>
      </c>
      <c r="I114" s="304">
        <v>119.8</v>
      </c>
      <c r="J114" s="305">
        <v>122.1</v>
      </c>
      <c r="K114" s="302">
        <v>120.9</v>
      </c>
      <c r="L114" s="300">
        <v>120.8</v>
      </c>
      <c r="M114" s="304">
        <v>122.9</v>
      </c>
      <c r="N114" s="306">
        <v>122</v>
      </c>
      <c r="O114" s="307">
        <v>121.2</v>
      </c>
      <c r="P114" s="300">
        <v>120.1</v>
      </c>
      <c r="Q114" s="307">
        <v>121.7</v>
      </c>
      <c r="R114" s="248"/>
      <c r="S114" s="358">
        <v>109.2</v>
      </c>
      <c r="T114" s="359">
        <v>117.2</v>
      </c>
      <c r="U114" s="360">
        <v>98.8</v>
      </c>
      <c r="V114" s="416">
        <v>97.2</v>
      </c>
      <c r="W114" s="361">
        <v>128.80000000000001</v>
      </c>
      <c r="X114" s="359">
        <v>125.5</v>
      </c>
      <c r="Y114" s="360">
        <v>116.5</v>
      </c>
      <c r="Z114" s="421">
        <v>97.9</v>
      </c>
      <c r="AA114" s="422">
        <v>96.5</v>
      </c>
      <c r="AB114" s="244"/>
      <c r="AC114" s="263" t="s">
        <v>77</v>
      </c>
    </row>
    <row r="115" spans="1:29" ht="18" customHeight="1" x14ac:dyDescent="0.3">
      <c r="A115" s="244"/>
      <c r="B115" s="223">
        <v>6</v>
      </c>
      <c r="C115" s="224">
        <v>2016</v>
      </c>
      <c r="D115" s="300">
        <v>122.1</v>
      </c>
      <c r="E115" s="301">
        <v>122.4</v>
      </c>
      <c r="F115" s="302">
        <v>123</v>
      </c>
      <c r="G115" s="303">
        <v>121.8</v>
      </c>
      <c r="H115" s="300">
        <v>123.7</v>
      </c>
      <c r="I115" s="304">
        <v>120.8</v>
      </c>
      <c r="J115" s="305">
        <v>122.7</v>
      </c>
      <c r="K115" s="302">
        <v>121.8</v>
      </c>
      <c r="L115" s="300">
        <v>121.3</v>
      </c>
      <c r="M115" s="304">
        <v>123.8</v>
      </c>
      <c r="N115" s="306">
        <v>122.5</v>
      </c>
      <c r="O115" s="307">
        <v>121.8</v>
      </c>
      <c r="P115" s="300">
        <v>120.7</v>
      </c>
      <c r="Q115" s="307">
        <v>122.1</v>
      </c>
      <c r="R115" s="248"/>
      <c r="S115" s="358">
        <v>109.4</v>
      </c>
      <c r="T115" s="359">
        <v>117</v>
      </c>
      <c r="U115" s="360">
        <v>101.9</v>
      </c>
      <c r="V115" s="416">
        <v>104.4</v>
      </c>
      <c r="W115" s="361">
        <v>129.9</v>
      </c>
      <c r="X115" s="359">
        <v>126.3</v>
      </c>
      <c r="Y115" s="360">
        <v>118</v>
      </c>
      <c r="Z115" s="421">
        <v>105</v>
      </c>
      <c r="AA115" s="422">
        <v>103.7</v>
      </c>
      <c r="AB115" s="244"/>
      <c r="AC115" s="263" t="s">
        <v>77</v>
      </c>
    </row>
    <row r="116" spans="1:29" ht="18" customHeight="1" x14ac:dyDescent="0.3">
      <c r="A116" s="244"/>
      <c r="B116" s="223">
        <v>7</v>
      </c>
      <c r="C116" s="224">
        <v>2016</v>
      </c>
      <c r="D116" s="300">
        <v>122.9</v>
      </c>
      <c r="E116" s="301">
        <v>123.5</v>
      </c>
      <c r="F116" s="302">
        <v>124.5</v>
      </c>
      <c r="G116" s="303">
        <v>123.1</v>
      </c>
      <c r="H116" s="300">
        <v>124.7</v>
      </c>
      <c r="I116" s="304">
        <v>122.2</v>
      </c>
      <c r="J116" s="305">
        <v>124.1</v>
      </c>
      <c r="K116" s="302">
        <v>123.2</v>
      </c>
      <c r="L116" s="300">
        <v>122.2</v>
      </c>
      <c r="M116" s="304">
        <v>125</v>
      </c>
      <c r="N116" s="306">
        <v>123.3</v>
      </c>
      <c r="O116" s="307">
        <v>122.9</v>
      </c>
      <c r="P116" s="300">
        <v>121.4</v>
      </c>
      <c r="Q116" s="307">
        <v>123.1</v>
      </c>
      <c r="R116" s="248"/>
      <c r="S116" s="358">
        <v>108.8</v>
      </c>
      <c r="T116" s="359">
        <v>115.8</v>
      </c>
      <c r="U116" s="360">
        <v>102.4</v>
      </c>
      <c r="V116" s="416">
        <v>108.3</v>
      </c>
      <c r="W116" s="361">
        <v>130.5</v>
      </c>
      <c r="X116" s="359">
        <v>125.8</v>
      </c>
      <c r="Y116" s="360">
        <v>117.6</v>
      </c>
      <c r="Z116" s="421">
        <v>108.9</v>
      </c>
      <c r="AA116" s="422">
        <v>107.7</v>
      </c>
      <c r="AB116" s="244"/>
      <c r="AC116" s="263" t="s">
        <v>77</v>
      </c>
    </row>
    <row r="117" spans="1:29" ht="18" customHeight="1" x14ac:dyDescent="0.3">
      <c r="A117" s="244"/>
      <c r="B117" s="223">
        <v>8</v>
      </c>
      <c r="C117" s="224">
        <v>2016</v>
      </c>
      <c r="D117" s="300">
        <v>122.7</v>
      </c>
      <c r="E117" s="301">
        <v>123.5</v>
      </c>
      <c r="F117" s="302">
        <v>124.3</v>
      </c>
      <c r="G117" s="303">
        <v>122.9</v>
      </c>
      <c r="H117" s="300">
        <v>124.6</v>
      </c>
      <c r="I117" s="304">
        <v>121.9</v>
      </c>
      <c r="J117" s="305">
        <v>123.8</v>
      </c>
      <c r="K117" s="302">
        <v>122.8</v>
      </c>
      <c r="L117" s="300">
        <v>122.2</v>
      </c>
      <c r="M117" s="304">
        <v>124.6</v>
      </c>
      <c r="N117" s="306">
        <v>123.2</v>
      </c>
      <c r="O117" s="307">
        <v>122.7</v>
      </c>
      <c r="P117" s="300">
        <v>121.4</v>
      </c>
      <c r="Q117" s="307">
        <v>122.8</v>
      </c>
      <c r="R117" s="248"/>
      <c r="S117" s="358">
        <v>110.1</v>
      </c>
      <c r="T117" s="359">
        <v>116.1</v>
      </c>
      <c r="U117" s="360">
        <v>102.9</v>
      </c>
      <c r="V117" s="416">
        <v>101.4</v>
      </c>
      <c r="W117" s="361">
        <v>131.1</v>
      </c>
      <c r="X117" s="359">
        <v>126.7</v>
      </c>
      <c r="Y117" s="360">
        <v>118.5</v>
      </c>
      <c r="Z117" s="442">
        <v>102</v>
      </c>
      <c r="AA117" s="443">
        <v>100.7</v>
      </c>
      <c r="AB117" s="244"/>
      <c r="AC117" s="263" t="s">
        <v>77</v>
      </c>
    </row>
    <row r="118" spans="1:29" ht="18" customHeight="1" x14ac:dyDescent="0.3">
      <c r="A118" s="244"/>
      <c r="B118" s="223">
        <v>9</v>
      </c>
      <c r="C118" s="224">
        <v>2016</v>
      </c>
      <c r="D118" s="300">
        <v>123.3</v>
      </c>
      <c r="E118" s="301">
        <v>123.7</v>
      </c>
      <c r="F118" s="302">
        <v>124.6</v>
      </c>
      <c r="G118" s="303">
        <v>123.2</v>
      </c>
      <c r="H118" s="300">
        <v>125</v>
      </c>
      <c r="I118" s="304">
        <v>122.2</v>
      </c>
      <c r="J118" s="305">
        <v>124.4</v>
      </c>
      <c r="K118" s="302">
        <v>123.1</v>
      </c>
      <c r="L118" s="300">
        <v>122.2</v>
      </c>
      <c r="M118" s="304">
        <v>125.1</v>
      </c>
      <c r="N118" s="306">
        <v>123.2</v>
      </c>
      <c r="O118" s="307">
        <v>122.7</v>
      </c>
      <c r="P118" s="300">
        <v>121.4</v>
      </c>
      <c r="Q118" s="307">
        <v>123.1</v>
      </c>
      <c r="R118" s="248"/>
      <c r="S118" s="358">
        <v>109.1</v>
      </c>
      <c r="T118" s="359">
        <v>115.7</v>
      </c>
      <c r="U118" s="360">
        <v>101</v>
      </c>
      <c r="V118" s="416">
        <v>96.8</v>
      </c>
      <c r="W118" s="361">
        <v>131.1</v>
      </c>
      <c r="X118" s="359">
        <v>126.7</v>
      </c>
      <c r="Y118" s="360">
        <v>118.6</v>
      </c>
      <c r="Z118" s="441">
        <v>97.6</v>
      </c>
      <c r="AA118" s="422">
        <v>96.1</v>
      </c>
      <c r="AB118" s="244"/>
      <c r="AC118" s="263" t="s">
        <v>77</v>
      </c>
    </row>
    <row r="119" spans="1:29" ht="18" customHeight="1" x14ac:dyDescent="0.3">
      <c r="A119" s="244"/>
      <c r="B119" s="223">
        <v>10</v>
      </c>
      <c r="C119" s="224">
        <v>2016</v>
      </c>
      <c r="D119" s="300">
        <v>123.9</v>
      </c>
      <c r="E119" s="301">
        <v>124.1</v>
      </c>
      <c r="F119" s="302">
        <v>125</v>
      </c>
      <c r="G119" s="303">
        <v>123.8</v>
      </c>
      <c r="H119" s="300">
        <v>125.3</v>
      </c>
      <c r="I119" s="304">
        <v>122.7</v>
      </c>
      <c r="J119" s="305">
        <v>125.3</v>
      </c>
      <c r="K119" s="302">
        <v>123.7</v>
      </c>
      <c r="L119" s="300">
        <v>123</v>
      </c>
      <c r="M119" s="304">
        <v>125.6</v>
      </c>
      <c r="N119" s="306">
        <v>123.8</v>
      </c>
      <c r="O119" s="307">
        <v>123.4</v>
      </c>
      <c r="P119" s="300">
        <v>122.3</v>
      </c>
      <c r="Q119" s="307">
        <v>123.7</v>
      </c>
      <c r="R119" s="248"/>
      <c r="S119" s="358">
        <v>109.6</v>
      </c>
      <c r="T119" s="359">
        <v>115.7</v>
      </c>
      <c r="U119" s="360">
        <v>101.8</v>
      </c>
      <c r="V119" s="416">
        <v>99</v>
      </c>
      <c r="W119" s="361">
        <v>130.9</v>
      </c>
      <c r="X119" s="359">
        <v>126.6</v>
      </c>
      <c r="Y119" s="360">
        <v>118.4</v>
      </c>
      <c r="Z119" s="441">
        <v>99.7</v>
      </c>
      <c r="AA119" s="422">
        <v>98.3</v>
      </c>
      <c r="AB119" s="244"/>
      <c r="AC119" s="263" t="s">
        <v>77</v>
      </c>
    </row>
    <row r="120" spans="1:29" ht="18" customHeight="1" x14ac:dyDescent="0.3">
      <c r="A120" s="244"/>
      <c r="B120" s="223"/>
      <c r="C120" s="224"/>
      <c r="D120" s="444" t="s">
        <v>118</v>
      </c>
      <c r="E120" s="445"/>
      <c r="F120" s="445"/>
      <c r="G120" s="445"/>
      <c r="H120" s="445"/>
      <c r="I120" s="445"/>
      <c r="J120" s="445"/>
      <c r="K120" s="445"/>
      <c r="L120" s="445"/>
      <c r="M120" s="445"/>
      <c r="N120" s="445"/>
      <c r="O120" s="445"/>
      <c r="P120" s="445"/>
      <c r="Q120" s="446"/>
      <c r="R120" s="248"/>
      <c r="S120" s="444" t="s">
        <v>118</v>
      </c>
      <c r="T120" s="445"/>
      <c r="U120" s="445"/>
      <c r="V120" s="445"/>
      <c r="W120" s="445"/>
      <c r="X120" s="445"/>
      <c r="Y120" s="445"/>
      <c r="Z120" s="445"/>
      <c r="AA120" s="446"/>
      <c r="AB120" s="244"/>
      <c r="AC120" s="263"/>
    </row>
    <row r="121" spans="1:29" ht="18" customHeight="1" x14ac:dyDescent="0.3">
      <c r="A121" s="244"/>
      <c r="B121" s="223"/>
      <c r="C121" s="224"/>
      <c r="D121" s="447" t="s">
        <v>109</v>
      </c>
      <c r="E121" s="448"/>
      <c r="F121" s="448"/>
      <c r="G121" s="448"/>
      <c r="H121" s="448"/>
      <c r="I121" s="448"/>
      <c r="J121" s="448"/>
      <c r="K121" s="448"/>
      <c r="L121" s="448"/>
      <c r="M121" s="448"/>
      <c r="N121" s="448"/>
      <c r="O121" s="448"/>
      <c r="P121" s="448"/>
      <c r="Q121" s="449"/>
      <c r="R121" s="248"/>
      <c r="S121" s="447" t="s">
        <v>109</v>
      </c>
      <c r="T121" s="448"/>
      <c r="U121" s="448"/>
      <c r="V121" s="448"/>
      <c r="W121" s="448"/>
      <c r="X121" s="448"/>
      <c r="Y121" s="448"/>
      <c r="Z121" s="448"/>
      <c r="AA121" s="449"/>
      <c r="AB121" s="244"/>
      <c r="AC121" s="263"/>
    </row>
    <row r="122" spans="1:29" ht="18" customHeight="1" x14ac:dyDescent="0.3">
      <c r="A122" s="244"/>
      <c r="B122" s="223">
        <v>11</v>
      </c>
      <c r="C122" s="224">
        <v>2016</v>
      </c>
      <c r="D122" s="300"/>
      <c r="E122" s="301"/>
      <c r="F122" s="302"/>
      <c r="G122" s="303"/>
      <c r="H122" s="300"/>
      <c r="I122" s="304"/>
      <c r="J122" s="305"/>
      <c r="K122" s="302"/>
      <c r="L122" s="300"/>
      <c r="M122" s="304"/>
      <c r="N122" s="306"/>
      <c r="O122" s="307"/>
      <c r="P122" s="300"/>
      <c r="Q122" s="307"/>
      <c r="R122" s="248"/>
      <c r="S122" s="358"/>
      <c r="T122" s="359"/>
      <c r="U122" s="360"/>
      <c r="V122" s="336"/>
      <c r="W122" s="361"/>
      <c r="X122" s="359"/>
      <c r="Y122" s="360"/>
      <c r="Z122" s="363"/>
      <c r="AA122" s="278"/>
      <c r="AB122" s="244"/>
      <c r="AC122" s="263"/>
    </row>
    <row r="123" spans="1:29" ht="18" customHeight="1" x14ac:dyDescent="0.3">
      <c r="A123" s="244"/>
      <c r="B123" s="225">
        <v>12</v>
      </c>
      <c r="C123" s="226">
        <v>2016</v>
      </c>
      <c r="D123" s="308"/>
      <c r="E123" s="309"/>
      <c r="F123" s="310"/>
      <c r="G123" s="311"/>
      <c r="H123" s="308"/>
      <c r="I123" s="312"/>
      <c r="J123" s="313"/>
      <c r="K123" s="310"/>
      <c r="L123" s="308"/>
      <c r="M123" s="312"/>
      <c r="N123" s="314"/>
      <c r="O123" s="315"/>
      <c r="P123" s="308"/>
      <c r="Q123" s="315"/>
      <c r="R123" s="248"/>
      <c r="S123" s="364"/>
      <c r="T123" s="365"/>
      <c r="U123" s="366"/>
      <c r="V123" s="346"/>
      <c r="W123" s="367"/>
      <c r="X123" s="365"/>
      <c r="Y123" s="366"/>
      <c r="Z123" s="369"/>
      <c r="AA123" s="286"/>
      <c r="AB123" s="244"/>
      <c r="AC123" s="263"/>
    </row>
    <row r="124" spans="1:29" ht="15" customHeight="1" x14ac:dyDescent="0.3">
      <c r="A124" s="265"/>
      <c r="B124" s="266"/>
      <c r="C124" s="266"/>
      <c r="D124" s="266"/>
      <c r="E124" s="266"/>
      <c r="F124" s="266"/>
      <c r="G124" s="266"/>
      <c r="H124" s="266"/>
      <c r="I124" s="266"/>
      <c r="J124" s="266"/>
      <c r="K124" s="266"/>
      <c r="L124" s="266"/>
      <c r="M124" s="266"/>
      <c r="N124" s="266"/>
      <c r="O124" s="266"/>
      <c r="P124" s="266"/>
      <c r="Q124" s="266"/>
      <c r="R124" s="266"/>
      <c r="S124" s="266"/>
      <c r="T124" s="266"/>
      <c r="U124" s="266"/>
      <c r="V124" s="266"/>
      <c r="W124" s="266"/>
      <c r="X124" s="266"/>
      <c r="Y124" s="266"/>
      <c r="Z124" s="266"/>
      <c r="AA124" s="266"/>
      <c r="AB124" s="267"/>
      <c r="AC124" s="263"/>
    </row>
    <row r="125" spans="1:29" ht="15" hidden="1" customHeight="1" thickBot="1" x14ac:dyDescent="0.35">
      <c r="A125" s="244"/>
      <c r="B125" s="249"/>
      <c r="C125" s="249"/>
      <c r="D125" s="249"/>
      <c r="E125" s="249"/>
      <c r="F125" s="249"/>
      <c r="G125" s="249"/>
      <c r="H125" s="249"/>
      <c r="I125" s="249"/>
      <c r="J125" s="249"/>
      <c r="K125" s="249"/>
      <c r="L125" s="249"/>
      <c r="M125" s="249"/>
      <c r="N125" s="249"/>
      <c r="O125" s="249"/>
      <c r="P125" s="249"/>
      <c r="Q125" s="249"/>
      <c r="R125" s="249"/>
      <c r="S125" s="249"/>
      <c r="T125" s="249"/>
      <c r="U125" s="249"/>
      <c r="V125" s="249"/>
      <c r="W125" s="249"/>
      <c r="X125" s="249"/>
      <c r="Y125" s="249"/>
      <c r="Z125" s="249"/>
      <c r="AA125" s="249"/>
      <c r="AB125" s="249"/>
      <c r="AC125" s="201"/>
    </row>
    <row r="126" spans="1:29" s="217" customFormat="1" ht="15" hidden="1" customHeight="1" thickBot="1" x14ac:dyDescent="0.35">
      <c r="A126" s="251"/>
      <c r="B126" s="251"/>
      <c r="C126" s="252"/>
      <c r="D126" s="207">
        <v>0.79176563740000006</v>
      </c>
      <c r="E126" s="207">
        <v>0.78616352199999995</v>
      </c>
      <c r="F126" s="207">
        <v>0.78802206460000002</v>
      </c>
      <c r="G126" s="207">
        <v>0.77519379840000002</v>
      </c>
      <c r="H126" s="207">
        <v>0.77579519009999998</v>
      </c>
      <c r="I126" s="207">
        <v>0.8006405124</v>
      </c>
      <c r="J126" s="207">
        <v>0.78554595439999997</v>
      </c>
      <c r="K126" s="207">
        <v>0.79491255959999996</v>
      </c>
      <c r="L126" s="207">
        <v>0.77279752700000004</v>
      </c>
      <c r="M126" s="207">
        <v>0.78864353310000002</v>
      </c>
      <c r="N126" s="207">
        <v>0.80385852089999998</v>
      </c>
      <c r="O126" s="207">
        <v>0.78247261349999997</v>
      </c>
      <c r="P126" s="207">
        <v>0.78740157479999995</v>
      </c>
      <c r="Q126" s="207">
        <v>0.79744816590000001</v>
      </c>
      <c r="R126" s="243"/>
      <c r="S126" s="216">
        <v>2.2719999999999998</v>
      </c>
      <c r="T126" s="213">
        <v>2.89</v>
      </c>
      <c r="U126" s="218">
        <v>3.22</v>
      </c>
      <c r="V126" s="219">
        <v>4.149</v>
      </c>
      <c r="W126" s="216">
        <v>1.909</v>
      </c>
      <c r="X126" s="213">
        <v>2.1960000000000002</v>
      </c>
      <c r="Y126" s="218">
        <v>1.992</v>
      </c>
      <c r="Z126" s="216">
        <v>4.24</v>
      </c>
      <c r="AA126" s="220">
        <v>4.2050000000000001</v>
      </c>
      <c r="AB126" s="251"/>
    </row>
    <row r="127" spans="1:29" ht="15" hidden="1" customHeight="1" x14ac:dyDescent="0.3">
      <c r="A127" s="244"/>
      <c r="B127" s="244"/>
      <c r="C127" s="244"/>
      <c r="D127" s="244"/>
      <c r="E127" s="244"/>
      <c r="F127" s="244"/>
      <c r="G127" s="244"/>
      <c r="H127" s="244"/>
      <c r="I127" s="244"/>
      <c r="J127" s="244"/>
      <c r="K127" s="244"/>
      <c r="L127" s="244"/>
      <c r="M127" s="244"/>
      <c r="N127" s="244"/>
      <c r="O127" s="244"/>
      <c r="P127" s="244"/>
      <c r="Q127" s="244"/>
      <c r="R127" s="244"/>
      <c r="S127" s="244"/>
      <c r="T127" s="244"/>
      <c r="U127" s="244"/>
      <c r="V127" s="244"/>
      <c r="W127" s="244"/>
      <c r="X127" s="244"/>
      <c r="Y127" s="244"/>
      <c r="Z127" s="244"/>
      <c r="AA127" s="244"/>
      <c r="AB127" s="244"/>
    </row>
    <row r="128" spans="1:29" ht="15" hidden="1" customHeight="1" x14ac:dyDescent="0.3"/>
    <row r="129" spans="4:27" ht="15" hidden="1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</row>
    <row r="130" spans="4:27" ht="18" hidden="1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S130" s="409"/>
      <c r="T130" s="409"/>
      <c r="U130" s="409"/>
      <c r="V130" s="409"/>
      <c r="W130" s="409"/>
      <c r="X130" s="409"/>
      <c r="Y130" s="409"/>
      <c r="Z130" s="409"/>
      <c r="AA130" s="409"/>
    </row>
    <row r="131" spans="4:27" ht="18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4:27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4:27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4:27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4:27" ht="18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4:27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R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4:27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R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4:27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</row>
    <row r="139" spans="4:27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</row>
    <row r="140" spans="4:27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4:27" ht="18" customHeight="1" x14ac:dyDescent="0.3">
      <c r="D141" s="409"/>
    </row>
    <row r="142" spans="4:27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</sheetData>
  <mergeCells count="35">
    <mergeCell ref="Y12:Y13"/>
    <mergeCell ref="Z12:AA12"/>
    <mergeCell ref="J12:J13"/>
    <mergeCell ref="U12:U13"/>
    <mergeCell ref="V12:V13"/>
    <mergeCell ref="W12:W13"/>
    <mergeCell ref="X12:X13"/>
    <mergeCell ref="B12:B13"/>
    <mergeCell ref="C12:C13"/>
    <mergeCell ref="D12:D13"/>
    <mergeCell ref="H12:H13"/>
    <mergeCell ref="I12:I13"/>
    <mergeCell ref="B7:C7"/>
    <mergeCell ref="B11:C11"/>
    <mergeCell ref="E11:F11"/>
    <mergeCell ref="I11:K11"/>
    <mergeCell ref="X4:AA5"/>
    <mergeCell ref="M11:O11"/>
    <mergeCell ref="T11:AA11"/>
    <mergeCell ref="D120:Q120"/>
    <mergeCell ref="S120:AA120"/>
    <mergeCell ref="D121:Q121"/>
    <mergeCell ref="S121:AA121"/>
    <mergeCell ref="Q12:Q13"/>
    <mergeCell ref="S12:S13"/>
    <mergeCell ref="T12:T13"/>
    <mergeCell ref="K12:K13"/>
    <mergeCell ref="L12:L13"/>
    <mergeCell ref="M12:M13"/>
    <mergeCell ref="N12:N13"/>
    <mergeCell ref="O12:O13"/>
    <mergeCell ref="P12:P13"/>
    <mergeCell ref="E12:E13"/>
    <mergeCell ref="F12:F13"/>
    <mergeCell ref="G12:G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4"/>
  <sheetViews>
    <sheetView zoomScaleNormal="100" workbookViewId="0">
      <pane xSplit="3" ySplit="13" topLeftCell="D110" activePane="bottomRight" state="frozen"/>
      <selection pane="topRight" activeCell="D1" sqref="D1"/>
      <selection pane="bottomLeft" activeCell="A14" sqref="A14"/>
      <selection pane="bottomRight" activeCell="B114" sqref="B114"/>
    </sheetView>
  </sheetViews>
  <sheetFormatPr defaultColWidth="9.109375" defaultRowHeight="18" customHeight="1" x14ac:dyDescent="0.3"/>
  <cols>
    <col min="1" max="1" width="1.21875" style="197" customWidth="1"/>
    <col min="2" max="2" width="8.88671875" style="197" customWidth="1"/>
    <col min="3" max="3" width="8.77734375" style="197" customWidth="1"/>
    <col min="4" max="17" width="13.77734375" style="197" customWidth="1"/>
    <col min="18" max="18" width="1.21875" style="197" customWidth="1"/>
    <col min="19" max="25" width="16.77734375" style="197" customWidth="1"/>
    <col min="26" max="27" width="13.77734375" style="197" customWidth="1"/>
    <col min="28" max="28" width="1.21875" style="197" customWidth="1"/>
    <col min="29" max="29" width="18" style="197" customWidth="1"/>
    <col min="30" max="30" width="9.109375" style="197"/>
    <col min="31" max="31" width="9.664062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77734375" style="197" customWidth="1"/>
    <col min="42" max="42" width="12" style="197" bestFit="1" customWidth="1"/>
    <col min="43" max="44" width="11" style="197" bestFit="1" customWidth="1"/>
    <col min="45" max="45" width="2.33203125" style="197" customWidth="1"/>
    <col min="46" max="46" width="8.77734375" style="197" bestFit="1" customWidth="1"/>
    <col min="47" max="48" width="11" style="197" bestFit="1" customWidth="1"/>
    <col min="49" max="49" width="2.332031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121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501" t="s">
        <v>112</v>
      </c>
      <c r="Y4" s="502"/>
      <c r="Z4" s="502"/>
      <c r="AA4" s="503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504"/>
      <c r="Y5" s="505"/>
      <c r="Z5" s="505"/>
      <c r="AA5" s="506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466" t="s">
        <v>66</v>
      </c>
      <c r="C7" s="467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468" t="s">
        <v>75</v>
      </c>
      <c r="C11" s="469"/>
      <c r="D11" s="206" t="s">
        <v>8</v>
      </c>
      <c r="E11" s="470" t="s">
        <v>67</v>
      </c>
      <c r="F11" s="471"/>
      <c r="G11" s="204" t="s">
        <v>9</v>
      </c>
      <c r="H11" s="206" t="s">
        <v>58</v>
      </c>
      <c r="I11" s="470" t="s">
        <v>68</v>
      </c>
      <c r="J11" s="472"/>
      <c r="K11" s="471"/>
      <c r="L11" s="206" t="s">
        <v>24</v>
      </c>
      <c r="M11" s="470" t="s">
        <v>11</v>
      </c>
      <c r="N11" s="472"/>
      <c r="O11" s="471"/>
      <c r="P11" s="206" t="s">
        <v>12</v>
      </c>
      <c r="Q11" s="205" t="s">
        <v>13</v>
      </c>
      <c r="R11" s="237"/>
      <c r="S11" s="238" t="s">
        <v>50</v>
      </c>
      <c r="T11" s="479" t="s">
        <v>51</v>
      </c>
      <c r="U11" s="480"/>
      <c r="V11" s="480"/>
      <c r="W11" s="480"/>
      <c r="X11" s="480"/>
      <c r="Y11" s="480"/>
      <c r="Z11" s="480"/>
      <c r="AA11" s="481"/>
      <c r="AB11" s="244"/>
      <c r="AC11" s="263"/>
    </row>
    <row r="12" spans="1:31" ht="18" customHeight="1" thickBot="1" x14ac:dyDescent="0.35">
      <c r="A12" s="244"/>
      <c r="B12" s="482" t="s">
        <v>72</v>
      </c>
      <c r="C12" s="484" t="s">
        <v>73</v>
      </c>
      <c r="D12" s="458" t="s">
        <v>76</v>
      </c>
      <c r="E12" s="460" t="s">
        <v>78</v>
      </c>
      <c r="F12" s="456" t="s">
        <v>79</v>
      </c>
      <c r="G12" s="450" t="s">
        <v>10</v>
      </c>
      <c r="H12" s="458" t="s">
        <v>80</v>
      </c>
      <c r="I12" s="460" t="s">
        <v>81</v>
      </c>
      <c r="J12" s="490" t="s">
        <v>82</v>
      </c>
      <c r="K12" s="456" t="s">
        <v>97</v>
      </c>
      <c r="L12" s="458" t="s">
        <v>83</v>
      </c>
      <c r="M12" s="460" t="s">
        <v>84</v>
      </c>
      <c r="N12" s="462" t="s">
        <v>85</v>
      </c>
      <c r="O12" s="464" t="s">
        <v>15</v>
      </c>
      <c r="P12" s="458" t="s">
        <v>86</v>
      </c>
      <c r="Q12" s="450" t="s">
        <v>3</v>
      </c>
      <c r="R12" s="236"/>
      <c r="S12" s="452" t="s">
        <v>87</v>
      </c>
      <c r="T12" s="454" t="s">
        <v>88</v>
      </c>
      <c r="U12" s="492" t="s">
        <v>89</v>
      </c>
      <c r="V12" s="507" t="s">
        <v>90</v>
      </c>
      <c r="W12" s="496" t="s">
        <v>91</v>
      </c>
      <c r="X12" s="498" t="s">
        <v>92</v>
      </c>
      <c r="Y12" s="486" t="s">
        <v>93</v>
      </c>
      <c r="Z12" s="509" t="s">
        <v>74</v>
      </c>
      <c r="AA12" s="510"/>
      <c r="AB12" s="244"/>
      <c r="AC12" s="263"/>
    </row>
    <row r="13" spans="1:31" ht="18" customHeight="1" thickBot="1" x14ac:dyDescent="0.35">
      <c r="A13" s="244"/>
      <c r="B13" s="483"/>
      <c r="C13" s="485"/>
      <c r="D13" s="459"/>
      <c r="E13" s="461"/>
      <c r="F13" s="457"/>
      <c r="G13" s="451"/>
      <c r="H13" s="459"/>
      <c r="I13" s="461"/>
      <c r="J13" s="491"/>
      <c r="K13" s="457"/>
      <c r="L13" s="459"/>
      <c r="M13" s="461"/>
      <c r="N13" s="463"/>
      <c r="O13" s="465"/>
      <c r="P13" s="459"/>
      <c r="Q13" s="451"/>
      <c r="R13" s="236"/>
      <c r="S13" s="453"/>
      <c r="T13" s="455"/>
      <c r="U13" s="493"/>
      <c r="V13" s="508"/>
      <c r="W13" s="497"/>
      <c r="X13" s="499"/>
      <c r="Y13" s="487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500" t="s">
        <v>103</v>
      </c>
      <c r="AM72" s="500"/>
      <c r="AN72" s="500"/>
      <c r="AP72" s="500" t="s">
        <v>102</v>
      </c>
      <c r="AQ72" s="500"/>
      <c r="AR72" s="500"/>
      <c r="AT72" s="500" t="s">
        <v>104</v>
      </c>
      <c r="AU72" s="500"/>
      <c r="AV72" s="500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'NEWTABLE A Indices 2012=100'!D112</f>
        <v>120.4</v>
      </c>
      <c r="E112" s="301">
        <f>'NEWTABLE A Indices 2012=100'!E112</f>
        <v>120.1</v>
      </c>
      <c r="F112" s="302">
        <f>'NEWTABLE A Indices 2012=100'!F112</f>
        <v>121.2</v>
      </c>
      <c r="G112" s="303">
        <f>'NEWTABLE A Indices 2012=100'!G112</f>
        <v>119.7</v>
      </c>
      <c r="H112" s="300">
        <f>'NEWTABLE A Indices 2012=100'!H112</f>
        <v>121.7</v>
      </c>
      <c r="I112" s="304">
        <f>'NEWTABLE A Indices 2012=100'!I112</f>
        <v>118.5</v>
      </c>
      <c r="J112" s="305">
        <f>'NEWTABLE A Indices 2012=100'!J112</f>
        <v>120.5</v>
      </c>
      <c r="K112" s="302">
        <f>'NEWTABLE A Indices 2012=100'!K112</f>
        <v>119.5</v>
      </c>
      <c r="L112" s="300">
        <f>'NEWTABLE A Indices 2012=100'!L112</f>
        <v>119</v>
      </c>
      <c r="M112" s="304">
        <f>'NEWTABLE A Indices 2012=100'!M112</f>
        <v>121.6</v>
      </c>
      <c r="N112" s="306">
        <f>'NEWTABLE A Indices 2012=100'!N112</f>
        <v>120.8</v>
      </c>
      <c r="O112" s="307">
        <f>'NEWTABLE A Indices 2012=100'!O112</f>
        <v>119.8</v>
      </c>
      <c r="P112" s="300">
        <f>'NEWTABLE A Indices 2012=100'!P112</f>
        <v>119</v>
      </c>
      <c r="Q112" s="307">
        <f>'NEWTABLE A Indices 2012=100'!Q112</f>
        <v>120.1</v>
      </c>
      <c r="R112" s="248"/>
      <c r="S112" s="358">
        <f>'NEWTABLE A Indices 2012=100'!S112</f>
        <v>105.8</v>
      </c>
      <c r="T112" s="359">
        <f>'NEWTABLE A Indices 2012=100'!T112</f>
        <v>109.9</v>
      </c>
      <c r="U112" s="360">
        <f>'NEWTABLE A Indices 2012=100'!U112</f>
        <v>95.6</v>
      </c>
      <c r="V112" s="436" t="s">
        <v>105</v>
      </c>
      <c r="W112" s="361">
        <f>'NEWTABLE A Indices 2012=100'!W112</f>
        <v>127.2</v>
      </c>
      <c r="X112" s="359">
        <f>'NEWTABLE A Indices 2012=100'!X112</f>
        <v>125.2</v>
      </c>
      <c r="Y112" s="360">
        <f>'NEWTABLE A Indices 2012=100'!Y112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444" t="s">
        <v>107</v>
      </c>
      <c r="E114" s="445"/>
      <c r="F114" s="445"/>
      <c r="G114" s="445"/>
      <c r="H114" s="445"/>
      <c r="I114" s="445"/>
      <c r="J114" s="445"/>
      <c r="K114" s="445"/>
      <c r="L114" s="445"/>
      <c r="M114" s="445"/>
      <c r="N114" s="445"/>
      <c r="O114" s="445"/>
      <c r="P114" s="445"/>
      <c r="Q114" s="446"/>
      <c r="R114" s="248"/>
      <c r="S114" s="444" t="s">
        <v>107</v>
      </c>
      <c r="T114" s="445"/>
      <c r="U114" s="445"/>
      <c r="V114" s="445"/>
      <c r="W114" s="445"/>
      <c r="X114" s="445"/>
      <c r="Y114" s="445"/>
      <c r="Z114" s="445"/>
      <c r="AA114" s="446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21875" customWidth="1"/>
    <col min="3" max="3" width="14.77734375" customWidth="1"/>
    <col min="4" max="5" width="12.77734375" customWidth="1"/>
    <col min="6" max="6" width="14.77734375" customWidth="1"/>
    <col min="7" max="10" width="12.77734375" customWidth="1"/>
    <col min="11" max="11" width="15.88671875" customWidth="1"/>
    <col min="12" max="12" width="12.77734375" customWidth="1"/>
    <col min="13" max="13" width="14.77734375" customWidth="1"/>
    <col min="14" max="15" width="12.77734375" customWidth="1"/>
    <col min="16" max="17" width="14.77734375" customWidth="1"/>
    <col min="18" max="18" width="1.109375" style="373" customWidth="1"/>
    <col min="19" max="25" width="14.77734375" customWidth="1"/>
    <col min="26" max="27" width="12.77734375" customWidth="1"/>
  </cols>
  <sheetData>
    <row r="1" spans="1:27" ht="17.399999999999999" x14ac:dyDescent="0.3">
      <c r="C1" s="131" t="s">
        <v>120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513" t="s">
        <v>38</v>
      </c>
      <c r="H5" s="514"/>
      <c r="I5" s="515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122</v>
      </c>
      <c r="T5" s="61"/>
      <c r="U5" s="61"/>
      <c r="V5" s="516" t="s">
        <v>108</v>
      </c>
      <c r="W5" s="517"/>
      <c r="X5" s="517"/>
      <c r="Y5" s="517"/>
      <c r="Z5" s="517"/>
      <c r="AA5" s="518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519" t="s">
        <v>106</v>
      </c>
      <c r="D117" s="520"/>
      <c r="E117" s="520"/>
      <c r="F117" s="520"/>
      <c r="G117" s="520"/>
      <c r="H117" s="520"/>
      <c r="I117" s="520"/>
      <c r="J117" s="520"/>
      <c r="K117" s="520"/>
      <c r="L117" s="520"/>
      <c r="M117" s="520"/>
      <c r="N117" s="520"/>
      <c r="O117" s="520"/>
      <c r="P117" s="520"/>
      <c r="Q117" s="520"/>
      <c r="R117" s="43"/>
      <c r="S117" s="519" t="s">
        <v>106</v>
      </c>
      <c r="T117" s="520"/>
      <c r="U117" s="520"/>
      <c r="V117" s="520"/>
      <c r="W117" s="520"/>
      <c r="X117" s="520"/>
      <c r="Y117" s="520"/>
      <c r="Z117" s="520"/>
      <c r="AA117" s="521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511" t="s">
        <v>110</v>
      </c>
      <c r="D124" s="512"/>
      <c r="E124" s="512"/>
      <c r="F124" s="512"/>
      <c r="G124" s="512"/>
      <c r="H124" s="512"/>
      <c r="I124" s="512"/>
      <c r="J124" s="512"/>
      <c r="K124" s="512"/>
      <c r="L124" s="512"/>
      <c r="M124" s="512"/>
      <c r="N124" s="512"/>
      <c r="O124" s="512"/>
      <c r="P124" s="512"/>
      <c r="Q124" s="512"/>
      <c r="R124" s="512"/>
      <c r="S124" s="512"/>
      <c r="T124" s="512"/>
      <c r="U124" s="512"/>
      <c r="V124" s="512"/>
      <c r="W124" s="512"/>
      <c r="X124" s="512"/>
      <c r="Y124" s="512"/>
      <c r="Z124" s="512"/>
      <c r="AA124" s="512"/>
    </row>
    <row r="125" spans="1:27" ht="15.6" x14ac:dyDescent="0.3">
      <c r="C125" s="511" t="s">
        <v>111</v>
      </c>
      <c r="D125" s="512"/>
      <c r="E125" s="512"/>
      <c r="F125" s="512"/>
      <c r="G125" s="512"/>
      <c r="H125" s="512"/>
      <c r="I125" s="512"/>
      <c r="J125" s="512"/>
      <c r="K125" s="512"/>
      <c r="L125" s="512"/>
      <c r="M125" s="512"/>
      <c r="N125" s="512"/>
      <c r="O125" s="512"/>
      <c r="P125" s="512"/>
      <c r="Q125" s="512"/>
      <c r="R125" s="512"/>
      <c r="S125" s="512"/>
      <c r="T125" s="512"/>
      <c r="U125" s="512"/>
      <c r="V125" s="512"/>
      <c r="W125" s="512"/>
      <c r="X125" s="512"/>
      <c r="Y125" s="512"/>
      <c r="Z125" s="512"/>
      <c r="AA125" s="512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77734375" customWidth="1"/>
    <col min="4" max="5" width="13.77734375" customWidth="1"/>
    <col min="6" max="6" width="15.77734375" customWidth="1"/>
    <col min="7" max="17" width="13.77734375" customWidth="1"/>
    <col min="18" max="18" width="1.21875" style="373" customWidth="1"/>
    <col min="19" max="27" width="13.7773437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513" t="s">
        <v>38</v>
      </c>
      <c r="H5" s="514"/>
      <c r="I5" s="515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NEWTABLE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'NEWTABLE A Indices 2012=100'!Print_Area</vt:lpstr>
      <vt:lpstr>'No Longer Applicable - Table C'!Print_Area</vt:lpstr>
      <vt:lpstr>'Discontinued - OLDTABLE A'!Print_Titles</vt:lpstr>
      <vt:lpstr>'NEWTABLE A Indices 2012=100'!Print_Titles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2016-04-28T12:20:43Z</cp:lastPrinted>
  <dcterms:created xsi:type="dcterms:W3CDTF">2009-03-23T07:34:27Z</dcterms:created>
  <dcterms:modified xsi:type="dcterms:W3CDTF">2016-12-05T07:03:07Z</dcterms:modified>
</cp:coreProperties>
</file>