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2016\"/>
    </mc:Choice>
  </mc:AlternateContent>
  <bookViews>
    <workbookView xWindow="0" yWindow="0" windowWidth="15360" windowHeight="7836" tabRatio="947"/>
  </bookViews>
  <sheets>
    <sheet name="NEWTABLE A Indices 2012=100" sheetId="28" r:id="rId1"/>
    <sheet name="Discontinued - OLDTABLE A" sheetId="19" r:id="rId2"/>
    <sheet name="Discontinued - TABLE B" sheetId="21" r:id="rId3"/>
    <sheet name="No Longer Applicable - Table C" sheetId="22" r:id="rId4"/>
  </sheets>
  <definedNames>
    <definedName name="_xlnm.Print_Area" localSheetId="1">'Discontinued - OLDTABLE A'!$B$2:$AA$109</definedName>
    <definedName name="_xlnm.Print_Area" localSheetId="0">'NEWTABLE A Indices 2012=100'!$B$2:$AA$109</definedName>
    <definedName name="_xlnm.Print_Area" localSheetId="3">'No Longer Applicable - Table C'!$A$1:$Q$72</definedName>
    <definedName name="_xlnm.Print_Titles" localSheetId="1">'Discontinued - OLDTABLE A'!$2:$13</definedName>
    <definedName name="_xlnm.Print_Titles" localSheetId="0">'NEWTABLE A Indices 2012=100'!$2:$13</definedName>
  </definedNames>
  <calcPr calcId="171027"/>
</workbook>
</file>

<file path=xl/calcChain.xml><?xml version="1.0" encoding="utf-8"?>
<calcChain xmlns="http://schemas.openxmlformats.org/spreadsheetml/2006/main"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Y48" i="28"/>
  <c r="X48" i="28"/>
  <c r="W48" i="28"/>
  <c r="U48" i="28"/>
  <c r="T48" i="28"/>
  <c r="S48" i="28"/>
  <c r="Y47" i="28"/>
  <c r="X47" i="28"/>
  <c r="W47" i="28"/>
  <c r="U47" i="28"/>
  <c r="T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W15" i="28"/>
  <c r="S15" i="28"/>
  <c r="W14" i="28"/>
  <c r="S14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<sst xmlns="http://schemas.openxmlformats.org/spreadsheetml/2006/main" count="310" uniqueCount="123">
  <si>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</si>
  <si>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</si>
  <si>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</si>
  <si>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</si>
  <si>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</si>
  <si>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</si>
  <si>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</si>
  <si>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</si>
  <si>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</si>
  <si>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</si>
  <si>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</si>
  <si>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</si>
  <si>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</si>
  <si>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</si>
  <si>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</si>
  <si>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</si>
  <si>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</si>
  <si>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</si>
  <si>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</si>
  <si>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</si>
  <si>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</si>
  <si>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</si>
  <si>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</si>
  <si>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</si>
  <si>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</si>
  <si>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</si>
  <si>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</si>
  <si>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</si>
  <si>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</si>
  <si>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</si>
  <si>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</si>
  <si>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</si>
  <si>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</si>
  <si>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</si>
  <si>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</si>
  <si>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</si>
  <si>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</si>
  <si>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</si>
  <si>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</si>
  <si>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</si>
  <si>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</si>
  <si>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</si>
  <si>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</si>
  <si>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</si>
  <si>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</si>
  <si>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</si>
  <si>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</si>
  <si>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</si>
  <si>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</si>
  <si>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</si>
  <si>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</si>
  <si>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</si>
  <si>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</si>
  <si>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</si>
  <si>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</si>
  <si>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</si>
  <si>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</si>
  <si>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</si>
  <si>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</si>
  <si>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</si>
  <si>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</si>
  <si>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</si>
  <si>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</si>
  <si>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</si>
  <si>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</si>
  <si>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</si>
  <si>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</si>
  <si>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</si>
  <si>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</si>
  <si>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</si>
  <si>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</si>
  <si>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</si>
  <si>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</si>
  <si>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</si>
  <si>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</si>
  <si>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</si>
  <si>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</si>
  <si>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</si>
  <si>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</si>
  <si>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</si>
  <si>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</si>
  <si>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</si>
  <si>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</si>
  <si>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</si>
  <si>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</si>
  <si>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</si>
  <si>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</si>
  <si>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</si>
  <si>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</si>
  <si>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</si>
  <si>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</si>
  <si>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</si>
  <si>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</si>
  <si>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</si>
  <si>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</si>
  <si>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</si>
  <si>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</si>
  <si>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</si>
  <si>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</si>
  <si>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</si>
  <si>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</si>
  <si>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</si>
  <si>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</si>
  <si>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</si>
  <si>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</si>
  <si>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</si>
  <si>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</si>
  <si>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</si>
  <si>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</si>
  <si>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</si>
  <si>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</si>
  <si>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</si>
  <si>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</si>
  <si>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</si>
  <si>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</si>
  <si>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</si>
  <si>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</si>
  <si>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</si>
  <si>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</si>
  <si>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NEW TABLE A (Indice base 100 as at Dec 2012)</t>
  </si>
  <si>
    <t>TABLE B - Indices 2008 = 100</t>
  </si>
  <si>
    <t>OLD TABLE A (Indice base 100 as at Dec 2012)</t>
  </si>
  <si>
    <t>2008 =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</si>
</sst>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0000"/>
    <numFmt numFmtId="166" formatCode="0.0000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8" fillId="0" borderId="0" applyFont="0" applyFill="0" applyBorder="0" applyAlignment="0" applyProtection="0"/>
  </cellStyleXfs>
  <cellXfs count="519">
    <xf numFmtId="0" fontId="0" fillId="0" borderId="0" xfId="0"/>
    <xf numFmtId="0" fontId="3" fillId="2" borderId="1" xfId="1" applyFont="1" applyFill="1" applyBorder="1" applyAlignment="1"/>
    <xf numFmtId="0" fontId="2" fillId="0" borderId="2" xfId="1" applyFont="1" applyBorder="1" applyAlignment="1"/>
    <xf numFmtId="0" fontId="2" fillId="0" borderId="3" xfId="1" applyFont="1" applyBorder="1" applyAlignment="1"/>
    <xf numFmtId="0" fontId="2" fillId="0" borderId="3" xfId="1" applyFont="1" applyBorder="1" applyAlignment="1">
      <alignment horizontal="center"/>
    </xf>
    <xf numFmtId="0" fontId="2" fillId="0" borderId="4" xfId="1" applyFont="1" applyBorder="1" applyAlignment="1"/>
    <xf numFmtId="0" fontId="2" fillId="0" borderId="5" xfId="1" applyFont="1" applyBorder="1" applyAlignment="1"/>
    <xf numFmtId="0" fontId="2" fillId="0" borderId="6" xfId="1" applyFont="1" applyBorder="1" applyAlignment="1"/>
    <xf numFmtId="0" fontId="0" fillId="0" borderId="0" xfId="0" applyBorder="1"/>
    <xf numFmtId="2" fontId="0" fillId="0" borderId="0" xfId="0" applyNumberFormat="1" applyFill="1" applyBorder="1"/>
    <xf numFmtId="0" fontId="9" fillId="0" borderId="0" xfId="0" applyFont="1"/>
    <xf numFmtId="0" fontId="2" fillId="2" borderId="7" xfId="1" applyFont="1" applyFill="1" applyBorder="1" applyAlignme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 applyAlignment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Fill="1" applyBorder="1" applyAlignment="1"/>
    <xf numFmtId="0" fontId="3" fillId="0" borderId="11" xfId="1" applyFont="1" applyFill="1" applyBorder="1" applyAlignment="1"/>
    <xf numFmtId="0" fontId="3" fillId="0" borderId="12" xfId="1" applyFont="1" applyFill="1" applyBorder="1" applyAlignment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/>
    <xf numFmtId="164" fontId="10" fillId="0" borderId="11" xfId="0" applyNumberFormat="1" applyFont="1" applyBorder="1" applyAlignment="1">
      <alignment horizontal="center"/>
    </xf>
    <xf numFmtId="164" fontId="10" fillId="0" borderId="11" xfId="0" applyNumberFormat="1" applyFont="1" applyFill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Font="1" applyBorder="1" applyAlignment="1">
      <alignment horizontal="center"/>
    </xf>
    <xf numFmtId="164" fontId="1" fillId="0" borderId="24" xfId="1" applyNumberFormat="1" applyFont="1" applyBorder="1" applyAlignment="1">
      <alignment horizontal="center"/>
    </xf>
    <xf numFmtId="164" fontId="1" fillId="0" borderId="11" xfId="1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0" fillId="0" borderId="3" xfId="0" applyNumberFormat="1" applyFont="1" applyFill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 applyAlignment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 applyAlignment="1"/>
    <xf numFmtId="164" fontId="1" fillId="5" borderId="2" xfId="1" applyNumberFormat="1" applyFont="1" applyFill="1" applyBorder="1" applyAlignment="1">
      <alignment horizontal="center"/>
    </xf>
    <xf numFmtId="164" fontId="1" fillId="5" borderId="3" xfId="1" applyNumberFormat="1" applyFon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1" xfId="1" applyFont="1" applyFill="1" applyBorder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Font="1" applyFill="1" applyBorder="1" applyAlignment="1">
      <alignment horizontal="center"/>
    </xf>
    <xf numFmtId="0" fontId="1" fillId="0" borderId="29" xfId="1" applyFont="1" applyFill="1" applyBorder="1" applyAlignment="1">
      <alignment horizontal="center"/>
    </xf>
    <xf numFmtId="0" fontId="1" fillId="0" borderId="30" xfId="1" applyFont="1" applyFill="1" applyBorder="1" applyAlignment="1">
      <alignment horizontal="center"/>
    </xf>
    <xf numFmtId="0" fontId="1" fillId="0" borderId="31" xfId="1" applyFont="1" applyFill="1" applyBorder="1" applyAlignment="1">
      <alignment horizontal="center"/>
    </xf>
    <xf numFmtId="164" fontId="10" fillId="0" borderId="24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0" borderId="12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164" fontId="10" fillId="0" borderId="23" xfId="0" applyNumberFormat="1" applyFont="1" applyFill="1" applyBorder="1" applyAlignment="1">
      <alignment horizontal="center"/>
    </xf>
    <xf numFmtId="164" fontId="10" fillId="0" borderId="12" xfId="0" applyNumberFormat="1" applyFont="1" applyFill="1" applyBorder="1" applyAlignment="1">
      <alignment horizontal="center"/>
    </xf>
    <xf numFmtId="164" fontId="10" fillId="0" borderId="4" xfId="0" applyNumberFormat="1" applyFont="1" applyFill="1" applyBorder="1" applyAlignment="1">
      <alignment horizontal="center"/>
    </xf>
    <xf numFmtId="166" fontId="10" fillId="0" borderId="12" xfId="0" applyNumberFormat="1" applyFont="1" applyFill="1" applyBorder="1" applyAlignment="1">
      <alignment horizontal="center"/>
    </xf>
    <xf numFmtId="166" fontId="10" fillId="0" borderId="4" xfId="0" applyNumberFormat="1" applyFont="1" applyFill="1" applyBorder="1" applyAlignment="1">
      <alignment horizontal="center"/>
    </xf>
    <xf numFmtId="166" fontId="10" fillId="0" borderId="15" xfId="0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32" xfId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Font="1" applyBorder="1" applyAlignment="1">
      <alignment horizontal="center"/>
    </xf>
    <xf numFmtId="164" fontId="1" fillId="0" borderId="36" xfId="1" applyNumberFormat="1" applyFont="1" applyBorder="1" applyAlignment="1">
      <alignment horizontal="center"/>
    </xf>
    <xf numFmtId="164" fontId="10" fillId="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0" fillId="0" borderId="19" xfId="0" applyNumberFormat="1" applyFont="1" applyFill="1" applyBorder="1" applyAlignment="1">
      <alignment horizontal="center"/>
    </xf>
    <xf numFmtId="164" fontId="1" fillId="4" borderId="18" xfId="1" applyNumberFormat="1" applyFont="1" applyFill="1" applyBorder="1" applyAlignment="1">
      <alignment horizontal="center"/>
    </xf>
    <xf numFmtId="164" fontId="1" fillId="4" borderId="19" xfId="1" applyNumberFormat="1" applyFon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Fill="1" applyBorder="1" applyAlignment="1">
      <alignment horizontal="center"/>
    </xf>
    <xf numFmtId="0" fontId="2" fillId="0" borderId="14" xfId="1" applyFont="1" applyBorder="1" applyAlignment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 applyAlignment="1"/>
    <xf numFmtId="1" fontId="10" fillId="0" borderId="14" xfId="0" applyNumberFormat="1" applyFont="1" applyFill="1" applyBorder="1" applyAlignment="1">
      <alignment horizontal="center"/>
    </xf>
    <xf numFmtId="164" fontId="10" fillId="0" borderId="10" xfId="0" applyNumberFormat="1" applyFont="1" applyFill="1" applyBorder="1" applyAlignment="1">
      <alignment horizontal="center"/>
    </xf>
    <xf numFmtId="164" fontId="10" fillId="0" borderId="13" xfId="0" applyNumberFormat="1" applyFont="1" applyFill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Fill="1" applyBorder="1" applyAlignment="1">
      <alignment horizontal="center"/>
    </xf>
    <xf numFmtId="164" fontId="10" fillId="0" borderId="18" xfId="0" applyNumberFormat="1" applyFont="1" applyFill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Fill="1" applyBorder="1" applyAlignment="1">
      <alignment horizontal="center"/>
    </xf>
    <xf numFmtId="166" fontId="10" fillId="0" borderId="6" xfId="0" applyNumberFormat="1" applyFont="1" applyFill="1" applyBorder="1" applyAlignment="1">
      <alignment horizontal="center"/>
    </xf>
    <xf numFmtId="166" fontId="10" fillId="0" borderId="5" xfId="0" applyNumberFormat="1" applyFont="1" applyFill="1" applyBorder="1" applyAlignment="1">
      <alignment horizontal="center"/>
    </xf>
    <xf numFmtId="166" fontId="10" fillId="0" borderId="32" xfId="0" applyNumberFormat="1" applyFont="1" applyFill="1" applyBorder="1" applyAlignment="1">
      <alignment horizontal="center"/>
    </xf>
    <xf numFmtId="0" fontId="1" fillId="0" borderId="10" xfId="1" applyFont="1" applyFill="1" applyBorder="1"/>
    <xf numFmtId="164" fontId="10" fillId="0" borderId="20" xfId="0" applyNumberFormat="1" applyFont="1" applyFill="1" applyBorder="1" applyAlignment="1">
      <alignment horizontal="center"/>
    </xf>
    <xf numFmtId="0" fontId="1" fillId="0" borderId="11" xfId="1" applyFont="1" applyFill="1" applyBorder="1"/>
    <xf numFmtId="164" fontId="10" fillId="0" borderId="17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3" fillId="2" borderId="10" xfId="1" applyFont="1" applyFill="1" applyBorder="1" applyAlignment="1"/>
    <xf numFmtId="0" fontId="2" fillId="2" borderId="2" xfId="1" applyFont="1" applyFill="1" applyBorder="1" applyAlignment="1"/>
    <xf numFmtId="0" fontId="3" fillId="2" borderId="12" xfId="1" applyFont="1" applyFill="1" applyBorder="1" applyAlignment="1"/>
    <xf numFmtId="0" fontId="2" fillId="2" borderId="4" xfId="1" applyFont="1" applyFill="1" applyBorder="1" applyAlignment="1"/>
    <xf numFmtId="0" fontId="14" fillId="0" borderId="0" xfId="0" applyFont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1" xfId="0" applyFont="1" applyFill="1" applyBorder="1"/>
    <xf numFmtId="164" fontId="1" fillId="5" borderId="24" xfId="1" applyNumberFormat="1" applyFont="1" applyFill="1" applyBorder="1" applyAlignment="1">
      <alignment horizontal="center"/>
    </xf>
    <xf numFmtId="164" fontId="1" fillId="5" borderId="0" xfId="1" applyNumberFormat="1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  <xf numFmtId="0" fontId="1" fillId="7" borderId="8" xfId="1" applyFont="1" applyFill="1" applyBorder="1"/>
    <xf numFmtId="0" fontId="1" fillId="0" borderId="23" xfId="1" applyFont="1" applyFill="1" applyBorder="1"/>
    <xf numFmtId="0" fontId="1" fillId="0" borderId="4" xfId="1" applyFont="1" applyFill="1" applyBorder="1"/>
    <xf numFmtId="0" fontId="6" fillId="2" borderId="1" xfId="1" applyFont="1" applyFill="1" applyBorder="1" applyAlignment="1"/>
    <xf numFmtId="0" fontId="1" fillId="2" borderId="7" xfId="1" applyFont="1" applyFill="1" applyBorder="1" applyAlignment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ont="1" applyFill="1" applyBorder="1"/>
    <xf numFmtId="0" fontId="6" fillId="0" borderId="11" xfId="1" applyFont="1" applyFill="1" applyBorder="1" applyAlignment="1"/>
    <xf numFmtId="0" fontId="1" fillId="0" borderId="3" xfId="1" applyFont="1" applyFill="1" applyBorder="1" applyAlignment="1"/>
    <xf numFmtId="164" fontId="13" fillId="0" borderId="11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164" fontId="13" fillId="0" borderId="10" xfId="0" applyNumberFormat="1" applyFont="1" applyFill="1" applyBorder="1" applyAlignment="1">
      <alignment horizontal="left"/>
    </xf>
    <xf numFmtId="164" fontId="13" fillId="0" borderId="24" xfId="0" applyNumberFormat="1" applyFont="1" applyFill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ont="1" applyFill="1" applyBorder="1" applyAlignment="1">
      <alignment horizontal="center"/>
    </xf>
    <xf numFmtId="0" fontId="1" fillId="0" borderId="3" xfId="1" applyFont="1" applyFill="1" applyBorder="1"/>
    <xf numFmtId="0" fontId="6" fillId="0" borderId="10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64" fontId="13" fillId="0" borderId="23" xfId="0" applyNumberFormat="1" applyFont="1" applyFill="1" applyBorder="1" applyAlignment="1">
      <alignment horizontal="left"/>
    </xf>
    <xf numFmtId="0" fontId="6" fillId="0" borderId="12" xfId="1" applyFont="1" applyFill="1" applyBorder="1"/>
    <xf numFmtId="0" fontId="6" fillId="0" borderId="23" xfId="1" applyFont="1" applyFill="1" applyBorder="1"/>
    <xf numFmtId="0" fontId="6" fillId="0" borderId="11" xfId="1" applyFont="1" applyFill="1" applyBorder="1" applyAlignment="1">
      <alignment horizontal="left"/>
    </xf>
    <xf numFmtId="0" fontId="1" fillId="0" borderId="3" xfId="1" applyFont="1" applyFill="1" applyBorder="1" applyAlignment="1">
      <alignment horizontal="left"/>
    </xf>
    <xf numFmtId="0" fontId="6" fillId="0" borderId="12" xfId="1" applyFont="1" applyFill="1" applyBorder="1" applyAlignment="1">
      <alignment horizontal="left"/>
    </xf>
    <xf numFmtId="0" fontId="1" fillId="0" borderId="4" xfId="1" applyFont="1" applyFill="1" applyBorder="1" applyAlignment="1"/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4" xfId="0" applyFont="1" applyFill="1" applyBorder="1"/>
    <xf numFmtId="164" fontId="10" fillId="0" borderId="15" xfId="0" applyNumberFormat="1" applyFont="1" applyFill="1" applyBorder="1" applyAlignment="1">
      <alignment horizontal="center"/>
    </xf>
    <xf numFmtId="164" fontId="10" fillId="0" borderId="22" xfId="0" applyNumberFormat="1" applyFont="1" applyFill="1" applyBorder="1" applyAlignment="1">
      <alignment horizontal="center"/>
    </xf>
    <xf numFmtId="164" fontId="10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/>
    </xf>
    <xf numFmtId="0" fontId="10" fillId="0" borderId="40" xfId="0" applyFont="1" applyFill="1" applyBorder="1"/>
    <xf numFmtId="0" fontId="10" fillId="0" borderId="41" xfId="0" applyFont="1" applyFill="1" applyBorder="1"/>
    <xf numFmtId="164" fontId="10" fillId="0" borderId="42" xfId="0" applyNumberFormat="1" applyFont="1" applyFill="1" applyBorder="1" applyAlignment="1">
      <alignment horizontal="center"/>
    </xf>
    <xf numFmtId="164" fontId="10" fillId="0" borderId="40" xfId="0" applyNumberFormat="1" applyFont="1" applyFill="1" applyBorder="1" applyAlignment="1">
      <alignment horizontal="center"/>
    </xf>
    <xf numFmtId="164" fontId="10" fillId="0" borderId="43" xfId="0" applyNumberFormat="1" applyFont="1" applyFill="1" applyBorder="1" applyAlignment="1">
      <alignment horizontal="center"/>
    </xf>
    <xf numFmtId="164" fontId="10" fillId="0" borderId="44" xfId="0" applyNumberFormat="1" applyFont="1" applyFill="1" applyBorder="1" applyAlignment="1">
      <alignment horizontal="center"/>
    </xf>
    <xf numFmtId="164" fontId="10" fillId="0" borderId="41" xfId="0" applyNumberFormat="1" applyFont="1" applyFill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6" fontId="10" fillId="0" borderId="23" xfId="0" applyNumberFormat="1" applyFont="1" applyFill="1" applyBorder="1" applyAlignment="1">
      <alignment horizontal="center"/>
    </xf>
    <xf numFmtId="164" fontId="10" fillId="0" borderId="45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ont="1" applyFill="1" applyBorder="1" applyAlignment="1">
      <alignment horizontal="center" vertical="center"/>
    </xf>
    <xf numFmtId="167" fontId="1" fillId="6" borderId="33" xfId="1" applyNumberFormat="1" applyFont="1" applyFill="1" applyBorder="1" applyAlignment="1">
      <alignment horizontal="center" vertical="center"/>
    </xf>
    <xf numFmtId="0" fontId="1" fillId="6" borderId="33" xfId="1" applyFont="1" applyFill="1" applyBorder="1" applyAlignment="1">
      <alignment horizontal="center" vertical="center"/>
    </xf>
    <xf numFmtId="0" fontId="1" fillId="6" borderId="34" xfId="1" applyFont="1" applyFill="1" applyBorder="1" applyAlignment="1">
      <alignment horizontal="center" vertical="center"/>
    </xf>
    <xf numFmtId="167" fontId="1" fillId="6" borderId="1" xfId="1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ont="1" applyFill="1" applyBorder="1" applyAlignment="1">
      <alignment horizontal="center" vertical="center"/>
    </xf>
    <xf numFmtId="167" fontId="1" fillId="6" borderId="8" xfId="1" applyNumberFormat="1" applyFont="1" applyFill="1" applyBorder="1" applyAlignment="1">
      <alignment horizontal="center" vertical="center"/>
    </xf>
    <xf numFmtId="167" fontId="1" fillId="6" borderId="34" xfId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7" fillId="0" borderId="46" xfId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" fillId="8" borderId="11" xfId="1" applyFont="1" applyFill="1" applyBorder="1" applyAlignment="1">
      <alignment horizontal="center" vertical="center"/>
    </xf>
    <xf numFmtId="0" fontId="1" fillId="8" borderId="0" xfId="1" applyFont="1" applyFill="1" applyBorder="1" applyAlignment="1">
      <alignment horizontal="center" vertical="center"/>
    </xf>
    <xf numFmtId="0" fontId="1" fillId="8" borderId="52" xfId="1" applyFont="1" applyFill="1" applyBorder="1" applyAlignment="1">
      <alignment horizontal="center" vertical="center" wrapText="1"/>
    </xf>
    <xf numFmtId="0" fontId="7" fillId="0" borderId="53" xfId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" fillId="8" borderId="6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5" fillId="8" borderId="0" xfId="0" applyFont="1" applyFill="1" applyBorder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vertical="center"/>
    </xf>
    <xf numFmtId="164" fontId="15" fillId="8" borderId="0" xfId="0" applyNumberFormat="1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165" fontId="10" fillId="8" borderId="0" xfId="0" applyNumberFormat="1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1" fillId="8" borderId="0" xfId="0" applyFont="1" applyFill="1" applyBorder="1" applyAlignment="1">
      <alignment vertical="center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Fill="1" applyBorder="1" applyAlignment="1">
      <alignment horizontal="right" vertical="center" indent="2"/>
    </xf>
    <xf numFmtId="164" fontId="15" fillId="0" borderId="58" xfId="0" applyNumberFormat="1" applyFont="1" applyFill="1" applyBorder="1" applyAlignment="1">
      <alignment horizontal="right" vertical="center" indent="2"/>
    </xf>
    <xf numFmtId="164" fontId="15" fillId="0" borderId="59" xfId="0" applyNumberFormat="1" applyFont="1" applyFill="1" applyBorder="1" applyAlignment="1">
      <alignment horizontal="right" vertical="center" indent="2"/>
    </xf>
    <xf numFmtId="164" fontId="15" fillId="0" borderId="54" xfId="0" applyNumberFormat="1" applyFont="1" applyFill="1" applyBorder="1" applyAlignment="1">
      <alignment horizontal="right" vertical="center" indent="2"/>
    </xf>
    <xf numFmtId="164" fontId="15" fillId="0" borderId="60" xfId="0" applyNumberFormat="1" applyFont="1" applyFill="1" applyBorder="1" applyAlignment="1">
      <alignment horizontal="right" vertical="center" indent="2"/>
    </xf>
    <xf numFmtId="164" fontId="15" fillId="0" borderId="61" xfId="0" applyNumberFormat="1" applyFont="1" applyFill="1" applyBorder="1" applyAlignment="1">
      <alignment horizontal="right" vertical="center" indent="2"/>
    </xf>
    <xf numFmtId="164" fontId="15" fillId="0" borderId="62" xfId="0" applyNumberFormat="1" applyFont="1" applyFill="1" applyBorder="1" applyAlignment="1">
      <alignment horizontal="right" vertical="center" indent="2"/>
    </xf>
    <xf numFmtId="164" fontId="15" fillId="0" borderId="63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Fill="1" applyBorder="1" applyAlignment="1">
      <alignment horizontal="right" vertical="center" indent="2"/>
    </xf>
    <xf numFmtId="164" fontId="15" fillId="0" borderId="65" xfId="0" applyNumberFormat="1" applyFont="1" applyFill="1" applyBorder="1" applyAlignment="1">
      <alignment horizontal="right" vertical="center" indent="2"/>
    </xf>
    <xf numFmtId="164" fontId="15" fillId="0" borderId="66" xfId="0" applyNumberFormat="1" applyFont="1" applyFill="1" applyBorder="1" applyAlignment="1">
      <alignment horizontal="right" vertical="center" indent="2"/>
    </xf>
    <xf numFmtId="164" fontId="15" fillId="0" borderId="49" xfId="0" applyNumberFormat="1" applyFont="1" applyFill="1" applyBorder="1" applyAlignment="1">
      <alignment horizontal="right" vertical="center" indent="2"/>
    </xf>
    <xf numFmtId="164" fontId="15" fillId="0" borderId="67" xfId="0" applyNumberFormat="1" applyFont="1" applyFill="1" applyBorder="1" applyAlignment="1">
      <alignment horizontal="right" vertical="center" indent="2"/>
    </xf>
    <xf numFmtId="164" fontId="15" fillId="0" borderId="68" xfId="0" applyNumberFormat="1" applyFont="1" applyFill="1" applyBorder="1" applyAlignment="1">
      <alignment horizontal="right" vertical="center" indent="2"/>
    </xf>
    <xf numFmtId="164" fontId="15" fillId="0" borderId="69" xfId="0" applyNumberFormat="1" applyFont="1" applyFill="1" applyBorder="1" applyAlignment="1">
      <alignment horizontal="right" vertical="center" indent="2"/>
    </xf>
    <xf numFmtId="164" fontId="15" fillId="0" borderId="70" xfId="0" applyNumberFormat="1" applyFont="1" applyFill="1" applyBorder="1" applyAlignment="1">
      <alignment horizontal="right" vertical="center" indent="2"/>
    </xf>
    <xf numFmtId="164" fontId="15" fillId="0" borderId="71" xfId="0" applyNumberFormat="1" applyFont="1" applyFill="1" applyBorder="1" applyAlignment="1">
      <alignment horizontal="right" vertical="center" indent="2"/>
    </xf>
    <xf numFmtId="164" fontId="15" fillId="0" borderId="72" xfId="0" applyNumberFormat="1" applyFont="1" applyFill="1" applyBorder="1" applyAlignment="1">
      <alignment horizontal="right" vertical="center" indent="2"/>
    </xf>
    <xf numFmtId="164" fontId="15" fillId="0" borderId="73" xfId="0" applyNumberFormat="1" applyFont="1" applyFill="1" applyBorder="1" applyAlignment="1">
      <alignment horizontal="right" vertical="center" indent="2"/>
    </xf>
    <xf numFmtId="164" fontId="15" fillId="0" borderId="51" xfId="0" applyNumberFormat="1" applyFont="1" applyFill="1" applyBorder="1" applyAlignment="1">
      <alignment horizontal="right" vertical="center" indent="2"/>
    </xf>
    <xf numFmtId="164" fontId="15" fillId="0" borderId="74" xfId="0" applyNumberFormat="1" applyFont="1" applyFill="1" applyBorder="1" applyAlignment="1">
      <alignment horizontal="right" vertical="center" indent="2"/>
    </xf>
    <xf numFmtId="164" fontId="15" fillId="0" borderId="75" xfId="0" applyNumberFormat="1" applyFont="1" applyFill="1" applyBorder="1" applyAlignment="1">
      <alignment horizontal="right" vertical="center" indent="2"/>
    </xf>
    <xf numFmtId="164" fontId="15" fillId="0" borderId="76" xfId="0" applyNumberFormat="1" applyFont="1" applyFill="1" applyBorder="1" applyAlignment="1">
      <alignment horizontal="right" vertical="center" indent="2"/>
    </xf>
    <xf numFmtId="164" fontId="15" fillId="0" borderId="77" xfId="0" applyNumberFormat="1" applyFont="1" applyFill="1" applyBorder="1" applyAlignment="1">
      <alignment horizontal="right" vertical="center" indent="2"/>
    </xf>
    <xf numFmtId="164" fontId="15" fillId="0" borderId="78" xfId="0" applyNumberFormat="1" applyFont="1" applyFill="1" applyBorder="1" applyAlignment="1">
      <alignment horizontal="right" vertical="center" indent="2"/>
    </xf>
    <xf numFmtId="164" fontId="15" fillId="0" borderId="79" xfId="0" applyNumberFormat="1" applyFont="1" applyFill="1" applyBorder="1" applyAlignment="1">
      <alignment horizontal="right" vertical="center" indent="2"/>
    </xf>
    <xf numFmtId="164" fontId="15" fillId="0" borderId="80" xfId="0" applyNumberFormat="1" applyFont="1" applyFill="1" applyBorder="1" applyAlignment="1">
      <alignment horizontal="right" vertical="center" indent="2"/>
    </xf>
    <xf numFmtId="164" fontId="15" fillId="0" borderId="47" xfId="0" applyNumberFormat="1" applyFont="1" applyFill="1" applyBorder="1" applyAlignment="1">
      <alignment horizontal="right" vertical="center" indent="2"/>
    </xf>
    <xf numFmtId="164" fontId="15" fillId="0" borderId="81" xfId="0" applyNumberFormat="1" applyFont="1" applyFill="1" applyBorder="1" applyAlignment="1">
      <alignment horizontal="right" vertical="center" indent="2"/>
    </xf>
    <xf numFmtId="164" fontId="15" fillId="0" borderId="82" xfId="0" applyNumberFormat="1" applyFont="1" applyFill="1" applyBorder="1" applyAlignment="1">
      <alignment horizontal="right" vertical="center" indent="2"/>
    </xf>
    <xf numFmtId="164" fontId="15" fillId="0" borderId="83" xfId="0" applyNumberFormat="1" applyFont="1" applyFill="1" applyBorder="1" applyAlignment="1">
      <alignment horizontal="right" vertical="center" indent="2"/>
    </xf>
    <xf numFmtId="164" fontId="15" fillId="0" borderId="84" xfId="0" applyNumberFormat="1" applyFont="1" applyFill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Fill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Fill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Fill="1" applyBorder="1" applyAlignment="1">
      <alignment horizontal="right" vertical="center" indent="2"/>
    </xf>
    <xf numFmtId="164" fontId="16" fillId="0" borderId="66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6" fontId="10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6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/>
    <xf numFmtId="165" fontId="13" fillId="0" borderId="0" xfId="0" applyNumberFormat="1" applyFont="1" applyFill="1" applyBorder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 applyAlignment="1"/>
    <xf numFmtId="164" fontId="10" fillId="0" borderId="16" xfId="0" applyNumberFormat="1" applyFon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164" fontId="10" fillId="0" borderId="32" xfId="0" applyNumberFormat="1" applyFont="1" applyFill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23" xfId="1" applyFont="1" applyBorder="1" applyAlignment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/>
    <xf numFmtId="164" fontId="10" fillId="0" borderId="85" xfId="0" applyNumberFormat="1" applyFont="1" applyFill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Fill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0" fontId="1" fillId="5" borderId="35" xfId="1" applyFont="1" applyFill="1" applyBorder="1" applyAlignment="1">
      <alignment horizontal="center" vertical="center" wrapText="1"/>
    </xf>
    <xf numFmtId="0" fontId="1" fillId="5" borderId="32" xfId="1" applyFont="1" applyFill="1" applyBorder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8" borderId="20" xfId="1" applyFont="1" applyFill="1" applyBorder="1" applyAlignment="1">
      <alignment horizontal="center" vertical="center" wrapText="1"/>
    </xf>
    <xf numFmtId="0" fontId="1" fillId="8" borderId="22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ont="1" applyFill="1" applyBorder="1" applyAlignment="1">
      <alignment horizontal="center" vertical="center" wrapText="1"/>
    </xf>
    <xf numFmtId="0" fontId="1" fillId="9" borderId="5" xfId="1" applyFont="1" applyFill="1" applyBorder="1" applyAlignment="1">
      <alignment horizontal="center" vertical="center" wrapText="1"/>
    </xf>
    <xf numFmtId="0" fontId="1" fillId="4" borderId="18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8" borderId="10" xfId="1" applyFont="1" applyFill="1" applyBorder="1" applyAlignment="1">
      <alignment horizontal="center" vertical="center"/>
    </xf>
    <xf numFmtId="0" fontId="1" fillId="8" borderId="12" xfId="1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center" vertical="center"/>
    </xf>
    <xf numFmtId="0" fontId="1" fillId="8" borderId="4" xfId="1" applyFont="1" applyFill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 wrapText="1"/>
    </xf>
    <xf numFmtId="0" fontId="1" fillId="8" borderId="15" xfId="1" applyFont="1" applyFill="1" applyBorder="1" applyAlignment="1">
      <alignment horizontal="center" vertical="center" wrapText="1"/>
    </xf>
    <xf numFmtId="0" fontId="1" fillId="8" borderId="1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0" borderId="1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" fillId="8" borderId="97" xfId="1" applyFont="1" applyFill="1" applyBorder="1" applyAlignment="1">
      <alignment horizontal="center" vertical="center" wrapText="1"/>
    </xf>
    <xf numFmtId="0" fontId="1" fillId="8" borderId="98" xfId="1" applyFont="1" applyFill="1" applyBorder="1" applyAlignment="1">
      <alignment horizontal="center" vertical="center" wrapText="1"/>
    </xf>
    <xf numFmtId="0" fontId="1" fillId="8" borderId="99" xfId="1" applyFont="1" applyFill="1" applyBorder="1" applyAlignment="1">
      <alignment horizontal="center" vertical="center" wrapText="1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48" xfId="0" applyNumberFormat="1" applyFont="1" applyFill="1" applyBorder="1" applyAlignment="1">
      <alignment horizontal="center" vertical="center"/>
    </xf>
    <xf numFmtId="164" fontId="11" fillId="13" borderId="49" xfId="0" applyNumberFormat="1" applyFont="1" applyFill="1" applyBorder="1" applyAlignment="1">
      <alignment horizontal="center" vertical="center"/>
    </xf>
    <xf numFmtId="164" fontId="11" fillId="13" borderId="70" xfId="0" applyNumberFormat="1" applyFont="1" applyFill="1" applyBorder="1" applyAlignment="1">
      <alignment horizontal="center" vertical="center"/>
    </xf>
    <xf numFmtId="0" fontId="1" fillId="8" borderId="13" xfId="1" applyFont="1" applyFill="1" applyBorder="1" applyAlignment="1">
      <alignment horizontal="center" vertical="center"/>
    </xf>
    <xf numFmtId="0" fontId="1" fillId="8" borderId="15" xfId="1" applyFont="1" applyFill="1" applyBorder="1" applyAlignment="1">
      <alignment horizontal="center" vertical="center"/>
    </xf>
    <xf numFmtId="0" fontId="1" fillId="9" borderId="16" xfId="1" applyFont="1" applyFill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 vertical="center" wrapText="1"/>
    </xf>
    <xf numFmtId="0" fontId="1" fillId="10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 wrapText="1"/>
    </xf>
    <xf numFmtId="0" fontId="1" fillId="8" borderId="32" xfId="1" applyFont="1" applyFill="1" applyBorder="1" applyAlignment="1">
      <alignment horizontal="center" vertical="center" wrapText="1"/>
    </xf>
    <xf numFmtId="0" fontId="1" fillId="8" borderId="18" xfId="1" applyFont="1" applyFill="1" applyBorder="1" applyAlignment="1">
      <alignment horizontal="center" vertical="center" wrapText="1"/>
    </xf>
    <xf numFmtId="0" fontId="1" fillId="8" borderId="5" xfId="1" applyFont="1" applyFill="1" applyBorder="1" applyAlignment="1">
      <alignment horizontal="center" vertical="center" wrapText="1"/>
    </xf>
    <xf numFmtId="0" fontId="1" fillId="8" borderId="35" xfId="1" applyFont="1" applyFill="1" applyBorder="1" applyAlignment="1">
      <alignment horizontal="center" vertical="center"/>
    </xf>
    <xf numFmtId="0" fontId="1" fillId="8" borderId="32" xfId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ont="1" applyFill="1" applyBorder="1" applyAlignment="1">
      <alignment horizontal="center" vertical="center" wrapText="1"/>
    </xf>
    <xf numFmtId="0" fontId="1" fillId="11" borderId="5" xfId="1" applyFont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Border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2"/>
  <sheetViews>
    <sheetView tabSelected="1" zoomScaleNormal="100" workbookViewId="0">
      <pane xSplit="3" ySplit="13" topLeftCell="D111" activePane="bottomRight" state="frozen"/>
      <selection pane="topRight" activeCell="D1" sqref="D1"/>
      <selection pane="bottomLeft" activeCell="A14" sqref="A14"/>
      <selection pane="bottomRight" activeCell="B116" sqref="B116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16384" width="9.109375" style="197"/>
  </cols>
  <sheetData>
    <row r="1" spans="1:30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0" ht="18" customHeight="1" x14ac:dyDescent="0.3">
      <c r="A2" s="244"/>
      <c r="B2" s="244"/>
      <c r="C2" s="244"/>
      <c r="D2" s="254" t="s">
        <v>119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0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0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413"/>
      <c r="X4" s="470" t="s">
        <v>113</v>
      </c>
      <c r="Y4" s="471"/>
      <c r="Z4" s="471"/>
      <c r="AA4" s="472"/>
      <c r="AB4" s="244"/>
      <c r="AC4" s="263"/>
    </row>
    <row r="5" spans="1:30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414"/>
      <c r="X5" s="473"/>
      <c r="Y5" s="474"/>
      <c r="Z5" s="474"/>
      <c r="AA5" s="475"/>
      <c r="AB5" s="244"/>
      <c r="AC5" s="263"/>
    </row>
    <row r="6" spans="1:30" ht="6" hidden="1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0" s="196" customFormat="1" ht="28.5" hidden="1" customHeight="1" thickBot="1" x14ac:dyDescent="0.35">
      <c r="A7" s="250"/>
      <c r="B7" s="463" t="s">
        <v>66</v>
      </c>
      <c r="C7" s="46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</row>
    <row r="8" spans="1:30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0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0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0" ht="18" customHeight="1" thickBot="1" x14ac:dyDescent="0.35">
      <c r="A11" s="244"/>
      <c r="B11" s="465" t="s">
        <v>75</v>
      </c>
      <c r="C11" s="466"/>
      <c r="D11" s="206" t="s">
        <v>8</v>
      </c>
      <c r="E11" s="467" t="s">
        <v>67</v>
      </c>
      <c r="F11" s="468"/>
      <c r="G11" s="204" t="s">
        <v>9</v>
      </c>
      <c r="H11" s="206" t="s">
        <v>58</v>
      </c>
      <c r="I11" s="467" t="s">
        <v>68</v>
      </c>
      <c r="J11" s="469"/>
      <c r="K11" s="468"/>
      <c r="L11" s="206" t="s">
        <v>24</v>
      </c>
      <c r="M11" s="467" t="s">
        <v>11</v>
      </c>
      <c r="N11" s="469"/>
      <c r="O11" s="468"/>
      <c r="P11" s="206" t="s">
        <v>12</v>
      </c>
      <c r="Q11" s="205" t="s">
        <v>13</v>
      </c>
      <c r="R11" s="237"/>
      <c r="S11" s="238" t="s">
        <v>50</v>
      </c>
      <c r="T11" s="476" t="s">
        <v>51</v>
      </c>
      <c r="U11" s="477"/>
      <c r="V11" s="477"/>
      <c r="W11" s="477"/>
      <c r="X11" s="477"/>
      <c r="Y11" s="477"/>
      <c r="Z11" s="477"/>
      <c r="AA11" s="478"/>
      <c r="AB11" s="244"/>
      <c r="AC11" s="263"/>
    </row>
    <row r="12" spans="1:30" ht="18" customHeight="1" thickBot="1" x14ac:dyDescent="0.35">
      <c r="A12" s="244"/>
      <c r="B12" s="455" t="s">
        <v>72</v>
      </c>
      <c r="C12" s="457" t="s">
        <v>73</v>
      </c>
      <c r="D12" s="459" t="s">
        <v>76</v>
      </c>
      <c r="E12" s="461" t="s">
        <v>78</v>
      </c>
      <c r="F12" s="491" t="s">
        <v>79</v>
      </c>
      <c r="G12" s="485" t="s">
        <v>10</v>
      </c>
      <c r="H12" s="459" t="s">
        <v>80</v>
      </c>
      <c r="I12" s="461" t="s">
        <v>81</v>
      </c>
      <c r="J12" s="445" t="s">
        <v>82</v>
      </c>
      <c r="K12" s="491" t="s">
        <v>97</v>
      </c>
      <c r="L12" s="459" t="s">
        <v>83</v>
      </c>
      <c r="M12" s="461" t="s">
        <v>84</v>
      </c>
      <c r="N12" s="493" t="s">
        <v>85</v>
      </c>
      <c r="O12" s="495" t="s">
        <v>15</v>
      </c>
      <c r="P12" s="459" t="s">
        <v>86</v>
      </c>
      <c r="Q12" s="485" t="s">
        <v>3</v>
      </c>
      <c r="R12" s="236"/>
      <c r="S12" s="487" t="s">
        <v>87</v>
      </c>
      <c r="T12" s="489" t="s">
        <v>88</v>
      </c>
      <c r="U12" s="447" t="s">
        <v>89</v>
      </c>
      <c r="V12" s="449" t="s">
        <v>114</v>
      </c>
      <c r="W12" s="451" t="s">
        <v>91</v>
      </c>
      <c r="X12" s="453" t="s">
        <v>92</v>
      </c>
      <c r="Y12" s="441" t="s">
        <v>93</v>
      </c>
      <c r="Z12" s="443" t="s">
        <v>115</v>
      </c>
      <c r="AA12" s="444"/>
      <c r="AB12" s="244"/>
      <c r="AC12" s="263"/>
    </row>
    <row r="13" spans="1:30" ht="18" customHeight="1" thickBot="1" x14ac:dyDescent="0.35">
      <c r="A13" s="244"/>
      <c r="B13" s="456"/>
      <c r="C13" s="458"/>
      <c r="D13" s="460"/>
      <c r="E13" s="462"/>
      <c r="F13" s="492"/>
      <c r="G13" s="486"/>
      <c r="H13" s="460"/>
      <c r="I13" s="462"/>
      <c r="J13" s="446"/>
      <c r="K13" s="492"/>
      <c r="L13" s="460"/>
      <c r="M13" s="462"/>
      <c r="N13" s="494"/>
      <c r="O13" s="496"/>
      <c r="P13" s="460"/>
      <c r="Q13" s="486"/>
      <c r="R13" s="236"/>
      <c r="S13" s="488"/>
      <c r="T13" s="490"/>
      <c r="U13" s="448"/>
      <c r="V13" s="450"/>
      <c r="W13" s="452"/>
      <c r="X13" s="454"/>
      <c r="Y13" s="442"/>
      <c r="Z13" s="439" t="s">
        <v>116</v>
      </c>
      <c r="AA13" s="440" t="s">
        <v>117</v>
      </c>
      <c r="AB13" s="244"/>
      <c r="AC13" s="263"/>
    </row>
    <row r="14" spans="1:30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184.1/S126</f>
        <v>81.029929577464799</v>
      </c>
      <c r="T14" s="325"/>
      <c r="U14" s="326"/>
      <c r="V14" s="415">
        <v>73.900000000000006</v>
      </c>
      <c r="W14" s="328">
        <f>153.7/W126</f>
        <v>80.513357778941852</v>
      </c>
      <c r="X14" s="329"/>
      <c r="Y14" s="330"/>
      <c r="Z14" s="434">
        <v>68.599999999999994</v>
      </c>
      <c r="AA14" s="435">
        <v>67.7</v>
      </c>
      <c r="AB14" s="244"/>
      <c r="AC14" s="263"/>
    </row>
    <row r="15" spans="1:30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186.8/S126</f>
        <v>82.218309859154942</v>
      </c>
      <c r="T15" s="334"/>
      <c r="U15" s="335"/>
      <c r="V15" s="416">
        <v>78.099999999999994</v>
      </c>
      <c r="W15" s="337">
        <f>161.4/W126</f>
        <v>84.546883184913568</v>
      </c>
      <c r="X15" s="338"/>
      <c r="Y15" s="339"/>
      <c r="Z15" s="428">
        <v>69.3</v>
      </c>
      <c r="AA15" s="429">
        <v>68.400000000000006</v>
      </c>
      <c r="AB15" s="244"/>
      <c r="AC15" s="263"/>
    </row>
    <row r="16" spans="1:30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187.8/S126</f>
        <v>82.658450704225359</v>
      </c>
      <c r="T16" s="338"/>
      <c r="U16" s="342"/>
      <c r="V16" s="416">
        <v>89.3</v>
      </c>
      <c r="W16" s="337">
        <f>161.4/W126</f>
        <v>84.546883184913568</v>
      </c>
      <c r="X16" s="338"/>
      <c r="Y16" s="339"/>
      <c r="Z16" s="428">
        <v>76.599999999999994</v>
      </c>
      <c r="AA16" s="429">
        <v>75.8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191/S126</f>
        <v>84.066901408450718</v>
      </c>
      <c r="T17" s="338"/>
      <c r="U17" s="342"/>
      <c r="V17" s="416">
        <v>103.2</v>
      </c>
      <c r="W17" s="337">
        <f>161.4/W126</f>
        <v>84.546883184913568</v>
      </c>
      <c r="X17" s="338"/>
      <c r="Y17" s="339"/>
      <c r="Z17" s="428">
        <v>88.9</v>
      </c>
      <c r="AA17" s="429">
        <v>88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199/S126</f>
        <v>87.588028169014095</v>
      </c>
      <c r="T18" s="338"/>
      <c r="U18" s="342"/>
      <c r="V18" s="416">
        <v>114.4</v>
      </c>
      <c r="W18" s="337">
        <f>168.3/W126</f>
        <v>88.161341016238879</v>
      </c>
      <c r="X18" s="338"/>
      <c r="Y18" s="339"/>
      <c r="Z18" s="428">
        <v>95.4</v>
      </c>
      <c r="AA18" s="429">
        <v>94.7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201.8/S126</f>
        <v>88.820422535211279</v>
      </c>
      <c r="T19" s="334"/>
      <c r="U19" s="342"/>
      <c r="V19" s="416">
        <v>126.3</v>
      </c>
      <c r="W19" s="337">
        <f>168.3/W126</f>
        <v>88.161341016238879</v>
      </c>
      <c r="X19" s="338"/>
      <c r="Y19" s="339"/>
      <c r="Z19" s="428">
        <v>102.2</v>
      </c>
      <c r="AA19" s="429">
        <v>101.5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203.9/S126</f>
        <v>89.744718309859167</v>
      </c>
      <c r="T20" s="338"/>
      <c r="U20" s="342"/>
      <c r="V20" s="416">
        <v>124.4</v>
      </c>
      <c r="W20" s="337">
        <f>168.3/W126</f>
        <v>88.161341016238879</v>
      </c>
      <c r="X20" s="338"/>
      <c r="Y20" s="339"/>
      <c r="Z20" s="428">
        <v>108.2</v>
      </c>
      <c r="AA20" s="429">
        <v>107.5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217.3/S126</f>
        <v>95.64260563380283</v>
      </c>
      <c r="T21" s="338"/>
      <c r="U21" s="342"/>
      <c r="V21" s="416">
        <v>102</v>
      </c>
      <c r="W21" s="337">
        <f>175.4/W126</f>
        <v>91.88056574122578</v>
      </c>
      <c r="X21" s="338"/>
      <c r="Y21" s="339"/>
      <c r="Z21" s="428">
        <v>106.6</v>
      </c>
      <c r="AA21" s="429">
        <v>105.9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218.8/S126</f>
        <v>96.302816901408463</v>
      </c>
      <c r="T22" s="338"/>
      <c r="U22" s="342"/>
      <c r="V22" s="416">
        <v>95.8</v>
      </c>
      <c r="W22" s="337">
        <f>175.4/W126</f>
        <v>91.88056574122578</v>
      </c>
      <c r="X22" s="338"/>
      <c r="Y22" s="339"/>
      <c r="Z22" s="428">
        <v>93</v>
      </c>
      <c r="AA22" s="429">
        <v>92.2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219.6/S126</f>
        <v>96.654929577464799</v>
      </c>
      <c r="T23" s="338"/>
      <c r="U23" s="342"/>
      <c r="V23" s="416">
        <v>91.8</v>
      </c>
      <c r="W23" s="337">
        <f>175.4/W126</f>
        <v>91.88056574122578</v>
      </c>
      <c r="X23" s="338"/>
      <c r="Y23" s="339"/>
      <c r="Z23" s="428">
        <v>87.7</v>
      </c>
      <c r="AA23" s="429">
        <v>86.8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219.2/S126</f>
        <v>96.478873239436624</v>
      </c>
      <c r="T24" s="338"/>
      <c r="U24" s="342"/>
      <c r="V24" s="416">
        <v>81.900000000000006</v>
      </c>
      <c r="W24" s="337">
        <f>184.8/W126</f>
        <v>96.804609743321109</v>
      </c>
      <c r="X24" s="338"/>
      <c r="Y24" s="339"/>
      <c r="Z24" s="428">
        <v>85.4</v>
      </c>
      <c r="AA24" s="429">
        <v>84.5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216.6/S126</f>
        <v>95.33450704225352</v>
      </c>
      <c r="T25" s="344"/>
      <c r="U25" s="345"/>
      <c r="V25" s="417">
        <v>66.599999999999994</v>
      </c>
      <c r="W25" s="347">
        <f>184.8/W126</f>
        <v>96.804609743321109</v>
      </c>
      <c r="X25" s="344"/>
      <c r="Y25" s="348"/>
      <c r="Z25" s="430">
        <v>77.7</v>
      </c>
      <c r="AA25" s="431">
        <v>76.8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219.7/S126</f>
        <v>96.698943661971839</v>
      </c>
      <c r="T26" s="352"/>
      <c r="U26" s="353"/>
      <c r="V26" s="418">
        <v>69.7</v>
      </c>
      <c r="W26" s="355">
        <f>184.8/W126</f>
        <v>96.804609743321109</v>
      </c>
      <c r="X26" s="352"/>
      <c r="Y26" s="356"/>
      <c r="Z26" s="425">
        <v>61.9</v>
      </c>
      <c r="AA26" s="426">
        <v>60.8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215.7/S126</f>
        <v>94.938380281690144</v>
      </c>
      <c r="T27" s="359"/>
      <c r="U27" s="360"/>
      <c r="V27" s="416">
        <v>65.900000000000006</v>
      </c>
      <c r="W27" s="361">
        <f>193/W126</f>
        <v>101.10005238344682</v>
      </c>
      <c r="X27" s="359"/>
      <c r="Y27" s="362"/>
      <c r="Z27" s="421">
        <v>61.4</v>
      </c>
      <c r="AA27" s="422">
        <v>60.4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214.8/S126</f>
        <v>94.542253521126767</v>
      </c>
      <c r="T28" s="359"/>
      <c r="U28" s="360"/>
      <c r="V28" s="416">
        <v>61.6</v>
      </c>
      <c r="W28" s="361">
        <f>193/W126</f>
        <v>101.10005238344682</v>
      </c>
      <c r="X28" s="359"/>
      <c r="Y28" s="362"/>
      <c r="Z28" s="421">
        <v>57.8</v>
      </c>
      <c r="AA28" s="422">
        <v>56.7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213.3/S126</f>
        <v>93.882042253521135</v>
      </c>
      <c r="T29" s="359"/>
      <c r="U29" s="360"/>
      <c r="V29" s="416">
        <v>60.8</v>
      </c>
      <c r="W29" s="361">
        <f>193/W126</f>
        <v>101.10005238344682</v>
      </c>
      <c r="X29" s="359"/>
      <c r="Y29" s="362"/>
      <c r="Z29" s="421">
        <v>61.6</v>
      </c>
      <c r="AA29" s="422">
        <v>60.5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209/S126</f>
        <v>91.989436619718319</v>
      </c>
      <c r="T30" s="359"/>
      <c r="U30" s="360"/>
      <c r="V30" s="416">
        <v>61</v>
      </c>
      <c r="W30" s="361">
        <f>189.2/W126</f>
        <v>99.109481403876373</v>
      </c>
      <c r="X30" s="359"/>
      <c r="Y30" s="362"/>
      <c r="Z30" s="421">
        <v>62.4</v>
      </c>
      <c r="AA30" s="422">
        <v>61.2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208.9/S126</f>
        <v>91.945422535211279</v>
      </c>
      <c r="T31" s="359"/>
      <c r="U31" s="360"/>
      <c r="V31" s="416">
        <v>62.4</v>
      </c>
      <c r="W31" s="361">
        <f>189.2/W126</f>
        <v>99.109481403876373</v>
      </c>
      <c r="X31" s="359"/>
      <c r="Y31" s="362"/>
      <c r="Z31" s="421">
        <v>61.1</v>
      </c>
      <c r="AA31" s="422">
        <v>60.2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211.3/S126</f>
        <v>93.001760563380302</v>
      </c>
      <c r="T32" s="359"/>
      <c r="U32" s="360"/>
      <c r="V32" s="416">
        <v>64.7</v>
      </c>
      <c r="W32" s="361">
        <f>189.2/W126</f>
        <v>99.109481403876373</v>
      </c>
      <c r="X32" s="359"/>
      <c r="Y32" s="362"/>
      <c r="Z32" s="421">
        <v>64.900000000000006</v>
      </c>
      <c r="AA32" s="422">
        <v>64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210.1/S126</f>
        <v>92.473591549295776</v>
      </c>
      <c r="T33" s="359"/>
      <c r="U33" s="360"/>
      <c r="V33" s="416">
        <v>63.7</v>
      </c>
      <c r="W33" s="361">
        <f>190.9/W126</f>
        <v>100</v>
      </c>
      <c r="X33" s="359"/>
      <c r="Y33" s="362"/>
      <c r="Z33" s="421">
        <v>63</v>
      </c>
      <c r="AA33" s="422">
        <v>62.1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209.8/S126</f>
        <v>92.341549295774655</v>
      </c>
      <c r="T34" s="359"/>
      <c r="U34" s="360"/>
      <c r="V34" s="416">
        <v>66.2</v>
      </c>
      <c r="W34" s="361">
        <f>190.9/W126</f>
        <v>100</v>
      </c>
      <c r="X34" s="359"/>
      <c r="Y34" s="362"/>
      <c r="Z34" s="421">
        <v>66.2</v>
      </c>
      <c r="AA34" s="422">
        <v>65.3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209.5/S126</f>
        <v>92.209507042253534</v>
      </c>
      <c r="T35" s="359"/>
      <c r="U35" s="360"/>
      <c r="V35" s="416">
        <v>62.6</v>
      </c>
      <c r="W35" s="361">
        <f>190.9/W126</f>
        <v>100</v>
      </c>
      <c r="X35" s="359"/>
      <c r="Y35" s="362"/>
      <c r="Z35" s="421">
        <v>63.2</v>
      </c>
      <c r="AA35" s="422">
        <v>62.3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209.8/S126</f>
        <v>92.341549295774655</v>
      </c>
      <c r="T36" s="359"/>
      <c r="U36" s="360"/>
      <c r="V36" s="416">
        <v>63.7</v>
      </c>
      <c r="W36" s="361">
        <f>188.1/W126</f>
        <v>98.53326348873756</v>
      </c>
      <c r="X36" s="359"/>
      <c r="Y36" s="362"/>
      <c r="Z36" s="421">
        <v>64.099999999999994</v>
      </c>
      <c r="AA36" s="422">
        <v>63.2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209.8/S126</f>
        <v>92.341549295774655</v>
      </c>
      <c r="T37" s="365"/>
      <c r="U37" s="366"/>
      <c r="V37" s="417">
        <v>66.900000000000006</v>
      </c>
      <c r="W37" s="367">
        <f>188.1/W126</f>
        <v>98.53326348873756</v>
      </c>
      <c r="X37" s="365"/>
      <c r="Y37" s="368"/>
      <c r="Z37" s="423">
        <v>66.5</v>
      </c>
      <c r="AA37" s="424">
        <v>65.599999999999994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212.5/S126</f>
        <v>93.529929577464799</v>
      </c>
      <c r="T38" s="352"/>
      <c r="U38" s="353"/>
      <c r="V38" s="418">
        <v>65.400000000000006</v>
      </c>
      <c r="W38" s="355">
        <f>188.1/W126</f>
        <v>98.53326348873756</v>
      </c>
      <c r="X38" s="352"/>
      <c r="Y38" s="356"/>
      <c r="Z38" s="425">
        <v>65.2</v>
      </c>
      <c r="AA38" s="426">
        <v>64.3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213/S126</f>
        <v>93.750000000000014</v>
      </c>
      <c r="T39" s="359"/>
      <c r="U39" s="360"/>
      <c r="V39" s="416">
        <v>67.099999999999994</v>
      </c>
      <c r="W39" s="361">
        <f>188/W126</f>
        <v>98.480880041906758</v>
      </c>
      <c r="X39" s="359"/>
      <c r="Y39" s="362"/>
      <c r="Z39" s="421">
        <v>66.099999999999994</v>
      </c>
      <c r="AA39" s="422">
        <v>65.2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213/S126</f>
        <v>93.750000000000014</v>
      </c>
      <c r="T40" s="359"/>
      <c r="U40" s="360"/>
      <c r="V40" s="416">
        <v>68.2</v>
      </c>
      <c r="W40" s="361">
        <f>188.9/W126</f>
        <v>98.952331063383966</v>
      </c>
      <c r="X40" s="359"/>
      <c r="Y40" s="362"/>
      <c r="Z40" s="421">
        <v>66.5</v>
      </c>
      <c r="AA40" s="422">
        <v>65.599999999999994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212.8/S126</f>
        <v>93.661971830985934</v>
      </c>
      <c r="T41" s="359"/>
      <c r="U41" s="360"/>
      <c r="V41" s="416">
        <v>72.099999999999994</v>
      </c>
      <c r="W41" s="361">
        <f>188.9/W126</f>
        <v>98.952331063383966</v>
      </c>
      <c r="X41" s="359"/>
      <c r="Y41" s="362"/>
      <c r="Z41" s="421">
        <v>71.2</v>
      </c>
      <c r="AA41" s="422">
        <v>70.400000000000006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215.4/S126</f>
        <v>94.806338028169023</v>
      </c>
      <c r="T42" s="359"/>
      <c r="U42" s="360"/>
      <c r="V42" s="416">
        <v>74</v>
      </c>
      <c r="W42" s="361">
        <f>187.6/W126</f>
        <v>98.271346254583548</v>
      </c>
      <c r="X42" s="359"/>
      <c r="Y42" s="362"/>
      <c r="Z42" s="421">
        <v>73.900000000000006</v>
      </c>
      <c r="AA42" s="422">
        <v>73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216.7/S126</f>
        <v>95.37852112676056</v>
      </c>
      <c r="T43" s="359"/>
      <c r="U43" s="360"/>
      <c r="V43" s="416">
        <v>73</v>
      </c>
      <c r="W43" s="361">
        <f>187.4/W126</f>
        <v>98.166579360921943</v>
      </c>
      <c r="X43" s="359"/>
      <c r="Y43" s="362"/>
      <c r="Z43" s="421">
        <v>72.5</v>
      </c>
      <c r="AA43" s="422">
        <v>71.7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214.1/S126</f>
        <v>94.234154929577471</v>
      </c>
      <c r="T44" s="359"/>
      <c r="U44" s="360"/>
      <c r="V44" s="416">
        <v>71.900000000000006</v>
      </c>
      <c r="W44" s="361">
        <f>187.2/W126</f>
        <v>98.061812467260339</v>
      </c>
      <c r="X44" s="359"/>
      <c r="Y44" s="362"/>
      <c r="Z44" s="421">
        <v>71.099999999999994</v>
      </c>
      <c r="AA44" s="422">
        <v>70.3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212.6/S126</f>
        <v>93.573943661971839</v>
      </c>
      <c r="T45" s="359"/>
      <c r="U45" s="360"/>
      <c r="V45" s="416">
        <v>71.2</v>
      </c>
      <c r="W45" s="361">
        <f>186.7/W126</f>
        <v>97.799895233106326</v>
      </c>
      <c r="X45" s="359"/>
      <c r="Y45" s="362"/>
      <c r="Z45" s="421">
        <v>69.8</v>
      </c>
      <c r="AA45" s="422">
        <v>69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212.6/S126</f>
        <v>93.573943661971839</v>
      </c>
      <c r="T46" s="359"/>
      <c r="U46" s="360"/>
      <c r="V46" s="416">
        <v>70.599999999999994</v>
      </c>
      <c r="W46" s="361">
        <f>186.7/W126</f>
        <v>97.799895233106326</v>
      </c>
      <c r="X46" s="359"/>
      <c r="Y46" s="362"/>
      <c r="Z46" s="421">
        <v>69.8</v>
      </c>
      <c r="AA46" s="422">
        <v>69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213.7/S126</f>
        <v>94.058098591549296</v>
      </c>
      <c r="T47" s="359">
        <f>248.8/T126</f>
        <v>86.089965397923876</v>
      </c>
      <c r="U47" s="360">
        <f>264.6/U126</f>
        <v>82.173913043478265</v>
      </c>
      <c r="V47" s="416">
        <v>70.8</v>
      </c>
      <c r="W47" s="361">
        <f>186.8/W126</f>
        <v>97.852278679937143</v>
      </c>
      <c r="X47" s="359">
        <f>205.1/X126</f>
        <v>93.397085610200349</v>
      </c>
      <c r="Y47" s="362">
        <f>189.4/Y126</f>
        <v>95.08032128514057</v>
      </c>
      <c r="Z47" s="421">
        <v>69.599999999999994</v>
      </c>
      <c r="AA47" s="422">
        <v>68.8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212.9/S126</f>
        <v>93.705985915492974</v>
      </c>
      <c r="T48" s="359">
        <f>248.7/T126</f>
        <v>86.055363321799305</v>
      </c>
      <c r="U48" s="360">
        <f>264.7/U126</f>
        <v>82.204968944099377</v>
      </c>
      <c r="V48" s="416">
        <v>72.7</v>
      </c>
      <c r="W48" s="361">
        <f>187.5/W126</f>
        <v>98.218962807752746</v>
      </c>
      <c r="X48" s="359">
        <f>205.4/X126</f>
        <v>93.533697632058278</v>
      </c>
      <c r="Y48" s="362">
        <f>190.1/Y126</f>
        <v>95.431726907630519</v>
      </c>
      <c r="Z48" s="421">
        <v>71.900000000000006</v>
      </c>
      <c r="AA48" s="422">
        <v>71.099999999999994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213.1/S126</f>
        <v>93.794014084507054</v>
      </c>
      <c r="T49" s="365">
        <f>248.5/T126</f>
        <v>85.986159169550163</v>
      </c>
      <c r="U49" s="366">
        <f>266.2/U126</f>
        <v>82.670807453416145</v>
      </c>
      <c r="V49" s="417">
        <v>75.2</v>
      </c>
      <c r="W49" s="367">
        <f>185.8/W126</f>
        <v>97.328444211629133</v>
      </c>
      <c r="X49" s="365">
        <f>201.5/X126</f>
        <v>91.757741347905281</v>
      </c>
      <c r="Y49" s="368">
        <f>189.2/Y126</f>
        <v>94.97991967871485</v>
      </c>
      <c r="Z49" s="423">
        <v>71.900000000000006</v>
      </c>
      <c r="AA49" s="424">
        <v>71.099999999999994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215.4/S126</f>
        <v>94.806338028169023</v>
      </c>
      <c r="T50" s="352">
        <f>250.3/T126</f>
        <v>86.608996539792386</v>
      </c>
      <c r="U50" s="353">
        <f>266.7/U126</f>
        <v>82.826086956521735</v>
      </c>
      <c r="V50" s="418">
        <v>78</v>
      </c>
      <c r="W50" s="355">
        <f>184.2/W126</f>
        <v>96.490309062336294</v>
      </c>
      <c r="X50" s="352">
        <f>201.9/X126</f>
        <v>91.939890710382514</v>
      </c>
      <c r="Y50" s="356">
        <f>189/Y126</f>
        <v>94.879518072289159</v>
      </c>
      <c r="Z50" s="425">
        <v>74.099999999999994</v>
      </c>
      <c r="AA50" s="426">
        <v>73.3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215.9/S126</f>
        <v>95.026408450704238</v>
      </c>
      <c r="T51" s="359">
        <f>257.9/T126</f>
        <v>89.238754325259507</v>
      </c>
      <c r="U51" s="360">
        <f>272.2/U126</f>
        <v>84.534161490683218</v>
      </c>
      <c r="V51" s="416">
        <v>85.3</v>
      </c>
      <c r="W51" s="361">
        <f>186.6/W126</f>
        <v>97.747511786275538</v>
      </c>
      <c r="X51" s="359">
        <f>202.7/X126</f>
        <v>92.304189435336966</v>
      </c>
      <c r="Y51" s="362">
        <f>190.4/Y126</f>
        <v>95.582329317269085</v>
      </c>
      <c r="Z51" s="421">
        <v>77</v>
      </c>
      <c r="AA51" s="422">
        <v>76.2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217.4/S126</f>
        <v>95.686619718309871</v>
      </c>
      <c r="T52" s="359">
        <f>261.5/T126</f>
        <v>90.484429065743939</v>
      </c>
      <c r="U52" s="360">
        <f>283.1/U126</f>
        <v>87.9192546583851</v>
      </c>
      <c r="V52" s="416">
        <v>90.9</v>
      </c>
      <c r="W52" s="361">
        <f>187.3/W126</f>
        <v>98.114195914091155</v>
      </c>
      <c r="X52" s="359">
        <f>204/X126</f>
        <v>92.896174863387969</v>
      </c>
      <c r="Y52" s="362">
        <f>191.3/Y126</f>
        <v>96.03413654618474</v>
      </c>
      <c r="Z52" s="421">
        <v>83</v>
      </c>
      <c r="AA52" s="422">
        <v>82.3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216/S126</f>
        <v>95.070422535211279</v>
      </c>
      <c r="T53" s="359">
        <f>261.6/T126</f>
        <v>90.51903114186851</v>
      </c>
      <c r="U53" s="360">
        <f>292.7/U126</f>
        <v>90.90062111801241</v>
      </c>
      <c r="V53" s="416">
        <v>96.4</v>
      </c>
      <c r="W53" s="361">
        <f>187.5/W126</f>
        <v>98.218962807752746</v>
      </c>
      <c r="X53" s="359">
        <f>204/X126</f>
        <v>92.896174863387969</v>
      </c>
      <c r="Y53" s="362">
        <f>191.8/Y126</f>
        <v>96.285140562248998</v>
      </c>
      <c r="Z53" s="421">
        <v>89.7</v>
      </c>
      <c r="AA53" s="422">
        <v>88.4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215.7/S126</f>
        <v>94.938380281690144</v>
      </c>
      <c r="T54" s="359">
        <f>261.3/T126</f>
        <v>90.415224913494811</v>
      </c>
      <c r="U54" s="360">
        <f>294/U126</f>
        <v>91.304347826086953</v>
      </c>
      <c r="V54" s="416">
        <v>95.4</v>
      </c>
      <c r="W54" s="361">
        <f>187.5/W126</f>
        <v>98.218962807752746</v>
      </c>
      <c r="X54" s="359">
        <f>205.5/X126</f>
        <v>93.579234972677583</v>
      </c>
      <c r="Y54" s="362">
        <f>193.3/Y126</f>
        <v>97.03815261044177</v>
      </c>
      <c r="Z54" s="421">
        <v>91.2</v>
      </c>
      <c r="AA54" s="422">
        <v>89.9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216.1/S126</f>
        <v>95.114436619718319</v>
      </c>
      <c r="T55" s="359">
        <f>265.2/T126</f>
        <v>91.764705882352928</v>
      </c>
      <c r="U55" s="360">
        <f>294.4/U126</f>
        <v>91.428571428571416</v>
      </c>
      <c r="V55" s="416">
        <v>92.6</v>
      </c>
      <c r="W55" s="361">
        <f>188.8/W126</f>
        <v>98.899947616553177</v>
      </c>
      <c r="X55" s="359">
        <f>205.5/X126</f>
        <v>93.579234972677583</v>
      </c>
      <c r="Y55" s="362">
        <f>194/Y126</f>
        <v>97.389558232931734</v>
      </c>
      <c r="Z55" s="421">
        <v>87.6</v>
      </c>
      <c r="AA55" s="422">
        <v>86.3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219/S126</f>
        <v>96.390845070422543</v>
      </c>
      <c r="T56" s="359">
        <f>267.7/T126</f>
        <v>92.62975778546712</v>
      </c>
      <c r="U56" s="360">
        <f>296.2/U126</f>
        <v>91.987577639751549</v>
      </c>
      <c r="V56" s="416">
        <v>92</v>
      </c>
      <c r="W56" s="361">
        <f>189.2/W126</f>
        <v>99.109481403876373</v>
      </c>
      <c r="X56" s="359">
        <f>210.1/X126</f>
        <v>95.673952641165741</v>
      </c>
      <c r="Y56" s="362">
        <f>193.9/Y126</f>
        <v>97.339357429718874</v>
      </c>
      <c r="Z56" s="421">
        <v>86.5</v>
      </c>
      <c r="AA56" s="422">
        <v>85.2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219.7/S126</f>
        <v>96.698943661971839</v>
      </c>
      <c r="T57" s="359">
        <f>268.8/T126</f>
        <v>93.010380622837374</v>
      </c>
      <c r="U57" s="360">
        <f>296.9/U126</f>
        <v>92.204968944099363</v>
      </c>
      <c r="V57" s="416">
        <v>91.8</v>
      </c>
      <c r="W57" s="361">
        <f>189.3/W126</f>
        <v>99.161864850707175</v>
      </c>
      <c r="X57" s="359">
        <f>214.1/X126</f>
        <v>97.495446265938057</v>
      </c>
      <c r="Y57" s="362">
        <f>194.3/Y126</f>
        <v>97.540160642570285</v>
      </c>
      <c r="Z57" s="421">
        <v>88</v>
      </c>
      <c r="AA57" s="422">
        <v>86.6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220.2/S126</f>
        <v>96.91901408450704</v>
      </c>
      <c r="T58" s="359">
        <f>272.6/T126</f>
        <v>94.325259515570934</v>
      </c>
      <c r="U58" s="360">
        <f>294.9/U126</f>
        <v>91.583850931677006</v>
      </c>
      <c r="V58" s="416">
        <v>91.8</v>
      </c>
      <c r="W58" s="361">
        <f>189.1/W126</f>
        <v>99.057097957045571</v>
      </c>
      <c r="X58" s="359">
        <f>213.8/X126</f>
        <v>97.358834244080143</v>
      </c>
      <c r="Y58" s="362">
        <f>194.3/Y126</f>
        <v>97.540160642570285</v>
      </c>
      <c r="Z58" s="421">
        <v>88</v>
      </c>
      <c r="AA58" s="422">
        <v>86.6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221.6/S126</f>
        <v>97.535211267605646</v>
      </c>
      <c r="T59" s="359">
        <f>276.9/T126</f>
        <v>95.813148788927322</v>
      </c>
      <c r="U59" s="360">
        <f>296.3/U126</f>
        <v>92.018633540372676</v>
      </c>
      <c r="V59" s="416">
        <v>95.4</v>
      </c>
      <c r="W59" s="361">
        <f>187.6/W126</f>
        <v>98.271346254583548</v>
      </c>
      <c r="X59" s="359">
        <f>213.2/X126</f>
        <v>97.085610200364286</v>
      </c>
      <c r="Y59" s="362">
        <f>193.9/Y126</f>
        <v>97.339357429718874</v>
      </c>
      <c r="Z59" s="421">
        <v>91.3</v>
      </c>
      <c r="AA59" s="422">
        <v>90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223.2/S126</f>
        <v>98.239436619718319</v>
      </c>
      <c r="T60" s="359">
        <f>286.2/T126</f>
        <v>99.031141868512108</v>
      </c>
      <c r="U60" s="360">
        <f>303.7/U126</f>
        <v>94.31677018633539</v>
      </c>
      <c r="V60" s="416">
        <v>100.4</v>
      </c>
      <c r="W60" s="361">
        <f>187.7/W126</f>
        <v>98.323729701414351</v>
      </c>
      <c r="X60" s="359">
        <f>213.4/X126</f>
        <v>97.17668488160291</v>
      </c>
      <c r="Y60" s="362">
        <f>194.3/Y126</f>
        <v>97.540160642570285</v>
      </c>
      <c r="Z60" s="421">
        <v>94.7</v>
      </c>
      <c r="AA60" s="422">
        <v>93.4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223.6/S126</f>
        <v>98.41549295774648</v>
      </c>
      <c r="T61" s="365">
        <f>286.5/T126</f>
        <v>99.134948096885807</v>
      </c>
      <c r="U61" s="366">
        <f>311.1/U126</f>
        <v>96.614906832298132</v>
      </c>
      <c r="V61" s="417">
        <v>102</v>
      </c>
      <c r="W61" s="367">
        <f>188.4/W126</f>
        <v>98.690413829229968</v>
      </c>
      <c r="X61" s="365">
        <f>213.7/X126</f>
        <v>97.313296903460824</v>
      </c>
      <c r="Y61" s="368">
        <f>195.1/Y126</f>
        <v>97.941767068273094</v>
      </c>
      <c r="Z61" s="423">
        <v>97.7</v>
      </c>
      <c r="AA61" s="424">
        <v>97.9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224.5/S126</f>
        <v>98.811619718309871</v>
      </c>
      <c r="T62" s="352">
        <f>287.7/T126</f>
        <v>99.550173010380618</v>
      </c>
      <c r="U62" s="353">
        <f>312/U126</f>
        <v>96.894409937888199</v>
      </c>
      <c r="V62" s="418">
        <v>99.5</v>
      </c>
      <c r="W62" s="355">
        <f>188.6/W126</f>
        <v>98.795180722891558</v>
      </c>
      <c r="X62" s="352">
        <f>213.7/X126</f>
        <v>97.313296903460824</v>
      </c>
      <c r="Y62" s="356">
        <f>194.9/Y126</f>
        <v>97.841365461847388</v>
      </c>
      <c r="Z62" s="425">
        <v>97.2</v>
      </c>
      <c r="AA62" s="426">
        <v>95.9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226.6/S126</f>
        <v>99.735915492957758</v>
      </c>
      <c r="T63" s="359">
        <f>290.5/T126</f>
        <v>100.51903114186851</v>
      </c>
      <c r="U63" s="360">
        <f>318/U126</f>
        <v>98.757763975155271</v>
      </c>
      <c r="V63" s="416">
        <v>99.4</v>
      </c>
      <c r="W63" s="361">
        <f>189.4/W126</f>
        <v>99.214248297537978</v>
      </c>
      <c r="X63" s="359">
        <f>214.7/X126</f>
        <v>97.768670309653899</v>
      </c>
      <c r="Y63" s="362">
        <f>195.3/Y126</f>
        <v>98.0421686746988</v>
      </c>
      <c r="Z63" s="421">
        <v>97.2</v>
      </c>
      <c r="AA63" s="422">
        <v>95.8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228.2/S126</f>
        <v>100.44014084507043</v>
      </c>
      <c r="T64" s="359">
        <f>290.5/T126</f>
        <v>100.51903114186851</v>
      </c>
      <c r="U64" s="360">
        <f>317.3/U126</f>
        <v>98.540372670807457</v>
      </c>
      <c r="V64" s="416">
        <v>100.6</v>
      </c>
      <c r="W64" s="361">
        <f>188.2/W126</f>
        <v>98.585646935568349</v>
      </c>
      <c r="X64" s="359">
        <f>214.4/X126</f>
        <v>97.632058287795985</v>
      </c>
      <c r="Y64" s="362">
        <f>194.8/Y126</f>
        <v>97.791164658634543</v>
      </c>
      <c r="Z64" s="421">
        <v>98.1</v>
      </c>
      <c r="AA64" s="422">
        <v>96.8</v>
      </c>
      <c r="AB64" s="244"/>
      <c r="AC64" s="263"/>
    </row>
    <row r="65" spans="1:29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227.9/S126</f>
        <v>100.30809859154931</v>
      </c>
      <c r="T65" s="359">
        <f>290.4/T126</f>
        <v>100.48442906574394</v>
      </c>
      <c r="U65" s="360">
        <f>317.1/U126</f>
        <v>98.478260869565219</v>
      </c>
      <c r="V65" s="416">
        <v>102.6</v>
      </c>
      <c r="W65" s="361">
        <f>188.6/W126</f>
        <v>98.795180722891558</v>
      </c>
      <c r="X65" s="359">
        <f>218/X126</f>
        <v>99.271402550091068</v>
      </c>
      <c r="Y65" s="362">
        <f>198.6/Y126</f>
        <v>99.698795180722882</v>
      </c>
      <c r="Z65" s="421">
        <v>102.9</v>
      </c>
      <c r="AA65" s="422">
        <v>101.3</v>
      </c>
      <c r="AB65" s="244"/>
      <c r="AC65" s="263"/>
    </row>
    <row r="66" spans="1:29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226.9/S126</f>
        <v>99.867957746478879</v>
      </c>
      <c r="T66" s="359">
        <f>288.9/T126</f>
        <v>99.965397923875415</v>
      </c>
      <c r="U66" s="360">
        <f>323/U126</f>
        <v>100.31055900621118</v>
      </c>
      <c r="V66" s="416">
        <v>103.6</v>
      </c>
      <c r="W66" s="361">
        <f>190.3/W126</f>
        <v>99.6856993190152</v>
      </c>
      <c r="X66" s="359">
        <f>218.8/X126</f>
        <v>99.635701275045534</v>
      </c>
      <c r="Y66" s="362">
        <f>199.4/Y126</f>
        <v>100.10040160642571</v>
      </c>
      <c r="Z66" s="421">
        <v>103.8</v>
      </c>
      <c r="AA66" s="422">
        <v>102.2</v>
      </c>
      <c r="AB66" s="244"/>
      <c r="AC66" s="263"/>
    </row>
    <row r="67" spans="1:29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226.8/S126</f>
        <v>99.823943661971839</v>
      </c>
      <c r="T67" s="359">
        <f>289.1/T126</f>
        <v>100.03460207612457</v>
      </c>
      <c r="U67" s="360">
        <f>324/U126</f>
        <v>100.62111801242236</v>
      </c>
      <c r="V67" s="416">
        <v>99.7</v>
      </c>
      <c r="W67" s="361">
        <f>190.8/W126</f>
        <v>99.947616553169198</v>
      </c>
      <c r="X67" s="359">
        <f>219.1/X126</f>
        <v>99.772313296903448</v>
      </c>
      <c r="Y67" s="362">
        <f>199.9/Y126</f>
        <v>100.35140562248996</v>
      </c>
      <c r="Z67" s="421">
        <v>101.5</v>
      </c>
      <c r="AA67" s="422">
        <v>100.2</v>
      </c>
      <c r="AB67" s="244"/>
      <c r="AC67" s="263"/>
    </row>
    <row r="68" spans="1:29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227.1/S126</f>
        <v>99.95598591549296</v>
      </c>
      <c r="T68" s="359">
        <f>289.9/T126</f>
        <v>100.3114186851211</v>
      </c>
      <c r="U68" s="360">
        <f>325.3/U126</f>
        <v>101.02484472049689</v>
      </c>
      <c r="V68" s="416">
        <v>92.1</v>
      </c>
      <c r="W68" s="361">
        <f>191/W126</f>
        <v>100.0523834468308</v>
      </c>
      <c r="X68" s="359">
        <f>220.2/X126</f>
        <v>100.27322404371583</v>
      </c>
      <c r="Y68" s="362">
        <f>200/Y126</f>
        <v>100.40160642570281</v>
      </c>
      <c r="Z68" s="421">
        <v>95.6</v>
      </c>
      <c r="AA68" s="422">
        <v>93.9</v>
      </c>
      <c r="AB68" s="244"/>
      <c r="AC68" s="263"/>
    </row>
    <row r="69" spans="1:29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227.9/S126</f>
        <v>100.30809859154931</v>
      </c>
      <c r="T69" s="359">
        <f>290/T126</f>
        <v>100.34602076124567</v>
      </c>
      <c r="U69" s="360">
        <f>324.2/U126</f>
        <v>100.68322981366458</v>
      </c>
      <c r="V69" s="416">
        <v>94.3</v>
      </c>
      <c r="W69" s="361">
        <f>191.5/W126</f>
        <v>100.3143006809848</v>
      </c>
      <c r="X69" s="359">
        <f>219.1/X126</f>
        <v>99.772313296903448</v>
      </c>
      <c r="Y69" s="362">
        <f>200.5/Y126</f>
        <v>100.65261044176707</v>
      </c>
      <c r="Z69" s="421">
        <v>97</v>
      </c>
      <c r="AA69" s="422">
        <v>95.2</v>
      </c>
      <c r="AB69" s="244"/>
      <c r="AC69" s="263"/>
    </row>
    <row r="70" spans="1:29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227.5/S126</f>
        <v>100.13204225352113</v>
      </c>
      <c r="T70" s="359">
        <f>289.8/T126</f>
        <v>100.27681660899654</v>
      </c>
      <c r="U70" s="360">
        <f>323.5/U126</f>
        <v>100.46583850931677</v>
      </c>
      <c r="V70" s="416">
        <v>100.3</v>
      </c>
      <c r="W70" s="361">
        <f>192.5/W126</f>
        <v>100.83813514929282</v>
      </c>
      <c r="X70" s="359">
        <f>223.2/X126</f>
        <v>101.63934426229507</v>
      </c>
      <c r="Y70" s="362">
        <f>200.6/Y126</f>
        <v>100.70281124497991</v>
      </c>
      <c r="Z70" s="421">
        <v>103.5</v>
      </c>
      <c r="AA70" s="422">
        <v>101.8</v>
      </c>
      <c r="AB70" s="244"/>
      <c r="AC70" s="263"/>
    </row>
    <row r="71" spans="1:29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226.8/S126</f>
        <v>99.823943661971839</v>
      </c>
      <c r="T71" s="359">
        <f>285.9/T126</f>
        <v>98.927335640138395</v>
      </c>
      <c r="U71" s="360">
        <f>324/U126</f>
        <v>100.62111801242236</v>
      </c>
      <c r="V71" s="416">
        <v>105.3</v>
      </c>
      <c r="W71" s="361">
        <f>192.5/W126</f>
        <v>100.83813514929282</v>
      </c>
      <c r="X71" s="359">
        <f>224.1/X126</f>
        <v>102.04918032786884</v>
      </c>
      <c r="Y71" s="362">
        <f>201.4/Y126</f>
        <v>101.10441767068274</v>
      </c>
      <c r="Z71" s="421">
        <v>104</v>
      </c>
      <c r="AA71" s="422">
        <v>105.6</v>
      </c>
      <c r="AB71" s="244"/>
      <c r="AC71" s="263"/>
    </row>
    <row r="72" spans="1:29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227.5/S126</f>
        <v>100.13204225352113</v>
      </c>
      <c r="T72" s="359">
        <f>285.9/T126</f>
        <v>98.927335640138395</v>
      </c>
      <c r="U72" s="360">
        <f>326.4/U126</f>
        <v>101.36645962732918</v>
      </c>
      <c r="V72" s="416">
        <v>106.8</v>
      </c>
      <c r="W72" s="361">
        <f>193.2/W126</f>
        <v>101.20481927710843</v>
      </c>
      <c r="X72" s="359">
        <f>225.1/X126</f>
        <v>102.50455373406191</v>
      </c>
      <c r="Y72" s="362">
        <f>202.1/Y126</f>
        <v>101.45582329317268</v>
      </c>
      <c r="Z72" s="421">
        <v>106.5</v>
      </c>
      <c r="AA72" s="422">
        <v>106.5</v>
      </c>
      <c r="AB72" s="244"/>
      <c r="AC72" s="263"/>
    </row>
    <row r="73" spans="1:29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228.2/S126</f>
        <v>100.44014084507043</v>
      </c>
      <c r="T73" s="401">
        <f>289/T126</f>
        <v>100</v>
      </c>
      <c r="U73" s="402">
        <f>329.3/U126</f>
        <v>102.26708074534162</v>
      </c>
      <c r="V73" s="427">
        <v>106</v>
      </c>
      <c r="W73" s="404">
        <f>193.7/W126</f>
        <v>101.46673651126244</v>
      </c>
      <c r="X73" s="401">
        <f>225.3/X126</f>
        <v>102.59562841530054</v>
      </c>
      <c r="Y73" s="405">
        <f>202.6/Y126</f>
        <v>101.70682730923694</v>
      </c>
      <c r="Z73" s="432">
        <v>106</v>
      </c>
      <c r="AA73" s="433">
        <v>106</v>
      </c>
      <c r="AB73" s="244"/>
      <c r="AC73" s="408" t="s">
        <v>96</v>
      </c>
    </row>
    <row r="74" spans="1:29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415">
        <v>103.4</v>
      </c>
      <c r="W74" s="398">
        <v>102.3</v>
      </c>
      <c r="X74" s="396">
        <v>103.1</v>
      </c>
      <c r="Y74" s="397">
        <v>102.4</v>
      </c>
      <c r="Z74" s="419">
        <v>103.4</v>
      </c>
      <c r="AA74" s="420">
        <v>103.4</v>
      </c>
      <c r="AB74" s="244"/>
      <c r="AC74" s="263" t="s">
        <v>95</v>
      </c>
    </row>
    <row r="75" spans="1:29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416">
        <v>105</v>
      </c>
      <c r="W75" s="361">
        <v>102.5</v>
      </c>
      <c r="X75" s="359">
        <v>103.1</v>
      </c>
      <c r="Y75" s="360">
        <v>102.4</v>
      </c>
      <c r="Z75" s="421">
        <v>105</v>
      </c>
      <c r="AA75" s="422">
        <v>105</v>
      </c>
      <c r="AB75" s="244"/>
      <c r="AC75" s="263"/>
    </row>
    <row r="76" spans="1:29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416">
        <v>110.5</v>
      </c>
      <c r="W76" s="361">
        <v>103.6</v>
      </c>
      <c r="X76" s="359">
        <v>103.5</v>
      </c>
      <c r="Y76" s="360">
        <v>103.6</v>
      </c>
      <c r="Z76" s="421">
        <v>110.5</v>
      </c>
      <c r="AA76" s="422">
        <v>110.6</v>
      </c>
      <c r="AB76" s="244"/>
      <c r="AC76" s="263"/>
    </row>
    <row r="77" spans="1:29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416">
        <v>111.3</v>
      </c>
      <c r="W77" s="361">
        <v>103.7</v>
      </c>
      <c r="X77" s="359">
        <v>103.6</v>
      </c>
      <c r="Y77" s="360">
        <v>103.6</v>
      </c>
      <c r="Z77" s="421">
        <v>111.3</v>
      </c>
      <c r="AA77" s="422">
        <v>111.3</v>
      </c>
      <c r="AB77" s="244"/>
      <c r="AC77" s="263"/>
    </row>
    <row r="78" spans="1:29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416">
        <v>106.1</v>
      </c>
      <c r="W78" s="361">
        <v>104.5</v>
      </c>
      <c r="X78" s="359">
        <v>104.2</v>
      </c>
      <c r="Y78" s="360">
        <v>103.9</v>
      </c>
      <c r="Z78" s="421">
        <v>106.2</v>
      </c>
      <c r="AA78" s="422">
        <v>106</v>
      </c>
      <c r="AB78" s="244"/>
      <c r="AC78" s="263"/>
    </row>
    <row r="79" spans="1:29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416">
        <v>105.7</v>
      </c>
      <c r="W79" s="361">
        <v>105.4</v>
      </c>
      <c r="X79" s="359">
        <v>104.6</v>
      </c>
      <c r="Y79" s="360">
        <v>104.7</v>
      </c>
      <c r="Z79" s="421">
        <v>105.8</v>
      </c>
      <c r="AA79" s="422">
        <v>105.6</v>
      </c>
      <c r="AB79" s="244"/>
      <c r="AC79" s="263"/>
    </row>
    <row r="80" spans="1:29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416">
        <v>113.1</v>
      </c>
      <c r="W80" s="361">
        <v>107.1</v>
      </c>
      <c r="X80" s="359">
        <v>106.9</v>
      </c>
      <c r="Y80" s="360">
        <v>106.1</v>
      </c>
      <c r="Z80" s="421">
        <v>113.1</v>
      </c>
      <c r="AA80" s="422">
        <v>113.1</v>
      </c>
      <c r="AB80" s="244"/>
      <c r="AC80" s="263"/>
    </row>
    <row r="81" spans="1:29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416">
        <v>116.2</v>
      </c>
      <c r="W81" s="361">
        <v>108.1</v>
      </c>
      <c r="X81" s="359">
        <v>107.4</v>
      </c>
      <c r="Y81" s="360">
        <v>106.6</v>
      </c>
      <c r="Z81" s="421">
        <v>116.1</v>
      </c>
      <c r="AA81" s="422">
        <v>116.2</v>
      </c>
      <c r="AB81" s="244"/>
      <c r="AC81" s="263"/>
    </row>
    <row r="82" spans="1:29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416">
        <v>117.5</v>
      </c>
      <c r="W82" s="361">
        <v>108.6</v>
      </c>
      <c r="X82" s="359">
        <v>107.6</v>
      </c>
      <c r="Y82" s="360">
        <v>107</v>
      </c>
      <c r="Z82" s="421">
        <v>117.4</v>
      </c>
      <c r="AA82" s="422">
        <v>117.5</v>
      </c>
      <c r="AB82" s="244"/>
      <c r="AC82" s="263"/>
    </row>
    <row r="83" spans="1:29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416">
        <v>117.3</v>
      </c>
      <c r="W83" s="361">
        <v>109.5</v>
      </c>
      <c r="X83" s="359">
        <v>108.2</v>
      </c>
      <c r="Y83" s="360">
        <v>107.6</v>
      </c>
      <c r="Z83" s="421">
        <v>117.2</v>
      </c>
      <c r="AA83" s="422">
        <v>117.3</v>
      </c>
      <c r="AB83" s="244"/>
      <c r="AC83" s="263"/>
    </row>
    <row r="84" spans="1:29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416">
        <v>115.8</v>
      </c>
      <c r="W84" s="361">
        <v>109.9</v>
      </c>
      <c r="X84" s="359">
        <v>108.6</v>
      </c>
      <c r="Y84" s="360">
        <v>108.1</v>
      </c>
      <c r="Z84" s="421">
        <v>115.8</v>
      </c>
      <c r="AA84" s="422">
        <v>115.9</v>
      </c>
      <c r="AB84" s="244"/>
      <c r="AC84" s="263"/>
    </row>
    <row r="85" spans="1:29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417">
        <v>116.8</v>
      </c>
      <c r="W85" s="367">
        <v>110.1</v>
      </c>
      <c r="X85" s="365">
        <v>108.7</v>
      </c>
      <c r="Y85" s="366">
        <v>108.4</v>
      </c>
      <c r="Z85" s="423">
        <v>116.7</v>
      </c>
      <c r="AA85" s="424">
        <v>116.8</v>
      </c>
      <c r="AB85" s="244"/>
      <c r="AC85" s="263"/>
    </row>
    <row r="86" spans="1:29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418">
        <v>119.8</v>
      </c>
      <c r="W86" s="355">
        <v>110.7</v>
      </c>
      <c r="X86" s="352">
        <v>108.8</v>
      </c>
      <c r="Y86" s="353">
        <v>108.4</v>
      </c>
      <c r="Z86" s="425">
        <v>119.7</v>
      </c>
      <c r="AA86" s="426">
        <v>119.9</v>
      </c>
      <c r="AB86" s="244"/>
      <c r="AC86" s="263"/>
    </row>
    <row r="87" spans="1:29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416">
        <v>122.1</v>
      </c>
      <c r="W87" s="361">
        <v>112.3</v>
      </c>
      <c r="X87" s="359">
        <v>115.8</v>
      </c>
      <c r="Y87" s="360">
        <v>109</v>
      </c>
      <c r="Z87" s="421">
        <v>122</v>
      </c>
      <c r="AA87" s="422">
        <v>122.2</v>
      </c>
      <c r="AB87" s="244"/>
      <c r="AC87" s="263"/>
    </row>
    <row r="88" spans="1:29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416">
        <v>124.7</v>
      </c>
      <c r="W88" s="361">
        <v>112.1</v>
      </c>
      <c r="X88" s="359">
        <v>116.2</v>
      </c>
      <c r="Y88" s="360">
        <v>109.5</v>
      </c>
      <c r="Z88" s="421">
        <v>124.5</v>
      </c>
      <c r="AA88" s="422">
        <v>124.8</v>
      </c>
      <c r="AB88" s="244"/>
      <c r="AC88" s="263"/>
    </row>
    <row r="89" spans="1:29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416">
        <v>123.6</v>
      </c>
      <c r="W89" s="361">
        <v>112.9</v>
      </c>
      <c r="X89" s="359">
        <v>117.5</v>
      </c>
      <c r="Y89" s="360">
        <v>111.4</v>
      </c>
      <c r="Z89" s="421">
        <v>123.7</v>
      </c>
      <c r="AA89" s="422">
        <v>123.6</v>
      </c>
      <c r="AB89" s="244"/>
      <c r="AC89" s="263"/>
    </row>
    <row r="90" spans="1:29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416">
        <v>120.8</v>
      </c>
      <c r="W90" s="361">
        <v>113.4</v>
      </c>
      <c r="X90" s="359">
        <v>117.7</v>
      </c>
      <c r="Y90" s="360">
        <v>111.8</v>
      </c>
      <c r="Z90" s="421">
        <v>120.9</v>
      </c>
      <c r="AA90" s="422">
        <v>120.7</v>
      </c>
      <c r="AB90" s="244"/>
      <c r="AC90" s="263"/>
    </row>
    <row r="91" spans="1:29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416">
        <v>118.6</v>
      </c>
      <c r="W91" s="361">
        <v>113.6</v>
      </c>
      <c r="X91" s="359">
        <v>116.7</v>
      </c>
      <c r="Y91" s="360">
        <v>110.9</v>
      </c>
      <c r="Z91" s="421">
        <v>118.7</v>
      </c>
      <c r="AA91" s="422">
        <v>118.5</v>
      </c>
      <c r="AB91" s="244"/>
      <c r="AC91" s="263"/>
    </row>
    <row r="92" spans="1:29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416">
        <v>119.9</v>
      </c>
      <c r="W92" s="361">
        <v>113.7</v>
      </c>
      <c r="X92" s="359">
        <v>116.3</v>
      </c>
      <c r="Y92" s="360">
        <v>110.6</v>
      </c>
      <c r="Z92" s="421">
        <v>120</v>
      </c>
      <c r="AA92" s="422">
        <v>119.8</v>
      </c>
      <c r="AB92" s="244"/>
      <c r="AC92" s="263"/>
    </row>
    <row r="93" spans="1:29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416">
        <v>119.4</v>
      </c>
      <c r="W93" s="361">
        <v>113.9</v>
      </c>
      <c r="X93" s="359">
        <v>117.2</v>
      </c>
      <c r="Y93" s="360">
        <v>110.7</v>
      </c>
      <c r="Z93" s="421">
        <v>119.5</v>
      </c>
      <c r="AA93" s="422">
        <v>119.3</v>
      </c>
      <c r="AB93" s="244"/>
      <c r="AC93" s="263"/>
    </row>
    <row r="94" spans="1:29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416">
        <v>117</v>
      </c>
      <c r="W94" s="361">
        <v>113.9</v>
      </c>
      <c r="X94" s="359">
        <v>117.2</v>
      </c>
      <c r="Y94" s="360">
        <v>110.6</v>
      </c>
      <c r="Z94" s="421">
        <v>117.2</v>
      </c>
      <c r="AA94" s="422">
        <v>116.9</v>
      </c>
      <c r="AB94" s="244"/>
      <c r="AC94" s="263"/>
    </row>
    <row r="95" spans="1:29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416">
        <v>115.8</v>
      </c>
      <c r="W95" s="361">
        <v>113.3</v>
      </c>
      <c r="X95" s="359">
        <v>117.1</v>
      </c>
      <c r="Y95" s="360">
        <v>109.4</v>
      </c>
      <c r="Z95" s="421">
        <v>116</v>
      </c>
      <c r="AA95" s="422">
        <v>115.6</v>
      </c>
      <c r="AB95" s="244"/>
      <c r="AC95" s="263"/>
    </row>
    <row r="96" spans="1:29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416">
        <v>110.1</v>
      </c>
      <c r="W96" s="361">
        <v>113.6</v>
      </c>
      <c r="X96" s="359">
        <v>117.1</v>
      </c>
      <c r="Y96" s="360">
        <v>109.4</v>
      </c>
      <c r="Z96" s="421">
        <v>110.3</v>
      </c>
      <c r="AA96" s="422">
        <v>109.8</v>
      </c>
      <c r="AB96" s="244"/>
      <c r="AC96" s="263"/>
    </row>
    <row r="97" spans="1:29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417">
        <v>105</v>
      </c>
      <c r="W97" s="367">
        <v>113.6</v>
      </c>
      <c r="X97" s="365">
        <v>117.1</v>
      </c>
      <c r="Y97" s="366">
        <v>109.4</v>
      </c>
      <c r="Z97" s="423">
        <v>105.3</v>
      </c>
      <c r="AA97" s="424">
        <v>104.8</v>
      </c>
      <c r="AB97" s="244"/>
      <c r="AC97" s="263"/>
    </row>
    <row r="98" spans="1:29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418">
        <v>95.3</v>
      </c>
      <c r="W98" s="355">
        <v>114.8</v>
      </c>
      <c r="X98" s="352">
        <v>118</v>
      </c>
      <c r="Y98" s="353">
        <v>110.1</v>
      </c>
      <c r="Z98" s="425">
        <v>95.6</v>
      </c>
      <c r="AA98" s="426">
        <v>94.9</v>
      </c>
      <c r="AB98" s="244"/>
      <c r="AC98" s="263"/>
    </row>
    <row r="99" spans="1:29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416">
        <v>85.7</v>
      </c>
      <c r="W99" s="361">
        <v>115.4</v>
      </c>
      <c r="X99" s="359">
        <v>118.2</v>
      </c>
      <c r="Y99" s="360">
        <v>110.5</v>
      </c>
      <c r="Z99" s="421">
        <v>86.2</v>
      </c>
      <c r="AA99" s="422">
        <v>85.2</v>
      </c>
      <c r="AB99" s="244"/>
      <c r="AC99" s="263"/>
    </row>
    <row r="100" spans="1:29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416">
        <v>92.6</v>
      </c>
      <c r="W100" s="361">
        <v>115.5</v>
      </c>
      <c r="X100" s="359">
        <v>118.2</v>
      </c>
      <c r="Y100" s="360">
        <v>110.5</v>
      </c>
      <c r="Z100" s="421">
        <v>93</v>
      </c>
      <c r="AA100" s="422">
        <v>92.2</v>
      </c>
      <c r="AB100" s="244"/>
      <c r="AC100" s="263"/>
    </row>
    <row r="101" spans="1:29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416">
        <v>104.1</v>
      </c>
      <c r="W101" s="361">
        <v>115.7</v>
      </c>
      <c r="X101" s="359">
        <v>116.3</v>
      </c>
      <c r="Y101" s="360">
        <v>108.8</v>
      </c>
      <c r="Z101" s="421">
        <v>104.5</v>
      </c>
      <c r="AA101" s="422">
        <v>103.7</v>
      </c>
      <c r="AB101" s="244"/>
      <c r="AC101" s="263"/>
    </row>
    <row r="102" spans="1:29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416">
        <v>103.6</v>
      </c>
      <c r="W102" s="361">
        <v>115.9</v>
      </c>
      <c r="X102" s="359">
        <v>116.3</v>
      </c>
      <c r="Y102" s="360">
        <v>108.7</v>
      </c>
      <c r="Z102" s="421">
        <v>104</v>
      </c>
      <c r="AA102" s="422">
        <v>103.2</v>
      </c>
      <c r="AB102" s="244"/>
      <c r="AC102" s="263" t="s">
        <v>77</v>
      </c>
    </row>
    <row r="103" spans="1:29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416">
        <v>108.2</v>
      </c>
      <c r="W103" s="361">
        <v>115.9</v>
      </c>
      <c r="X103" s="359">
        <v>116.6</v>
      </c>
      <c r="Y103" s="360">
        <v>108.4</v>
      </c>
      <c r="Z103" s="421">
        <v>108.5</v>
      </c>
      <c r="AA103" s="422">
        <v>107.9</v>
      </c>
      <c r="AB103" s="244"/>
      <c r="AC103" s="263" t="s">
        <v>77</v>
      </c>
    </row>
    <row r="104" spans="1:29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416">
        <v>108.6</v>
      </c>
      <c r="W104" s="361">
        <v>116.1</v>
      </c>
      <c r="X104" s="359">
        <v>117.2</v>
      </c>
      <c r="Y104" s="360">
        <v>107.8</v>
      </c>
      <c r="Z104" s="421">
        <v>108.9</v>
      </c>
      <c r="AA104" s="422">
        <v>108.2</v>
      </c>
      <c r="AB104" s="244"/>
      <c r="AC104" s="263" t="s">
        <v>77</v>
      </c>
    </row>
    <row r="105" spans="1:29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416">
        <v>101.4</v>
      </c>
      <c r="W105" s="361">
        <v>116.3</v>
      </c>
      <c r="X105" s="359">
        <v>117.8</v>
      </c>
      <c r="Y105" s="360">
        <v>108.1</v>
      </c>
      <c r="Z105" s="421">
        <v>101.9</v>
      </c>
      <c r="AA105" s="422">
        <v>101</v>
      </c>
      <c r="AB105" s="244"/>
      <c r="AC105" s="263" t="s">
        <v>77</v>
      </c>
    </row>
    <row r="106" spans="1:29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416">
        <v>96.4</v>
      </c>
      <c r="W106" s="361">
        <v>117.4</v>
      </c>
      <c r="X106" s="359">
        <v>118.3</v>
      </c>
      <c r="Y106" s="360">
        <v>108.9</v>
      </c>
      <c r="Z106" s="421">
        <v>96.8</v>
      </c>
      <c r="AA106" s="422">
        <v>95.9</v>
      </c>
      <c r="AB106" s="244"/>
      <c r="AC106" s="263" t="s">
        <v>77</v>
      </c>
    </row>
    <row r="107" spans="1:29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416">
        <v>101.4</v>
      </c>
      <c r="W107" s="361">
        <v>119.3</v>
      </c>
      <c r="X107" s="359">
        <v>119.5</v>
      </c>
      <c r="Y107" s="360">
        <v>109.7</v>
      </c>
      <c r="Z107" s="421">
        <v>101.8</v>
      </c>
      <c r="AA107" s="422">
        <v>100.9</v>
      </c>
      <c r="AB107" s="244"/>
      <c r="AC107" s="263" t="s">
        <v>77</v>
      </c>
    </row>
    <row r="108" spans="1:29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416">
        <v>100.5</v>
      </c>
      <c r="W108" s="361">
        <v>119.4</v>
      </c>
      <c r="X108" s="359">
        <v>120.2</v>
      </c>
      <c r="Y108" s="360">
        <v>110.1</v>
      </c>
      <c r="Z108" s="421">
        <v>100.9</v>
      </c>
      <c r="AA108" s="422">
        <v>100.1</v>
      </c>
      <c r="AB108" s="244"/>
      <c r="AC108" s="263" t="s">
        <v>77</v>
      </c>
    </row>
    <row r="109" spans="1:29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417">
        <v>100.2</v>
      </c>
      <c r="W109" s="367">
        <v>119.4</v>
      </c>
      <c r="X109" s="365">
        <v>120.3</v>
      </c>
      <c r="Y109" s="366">
        <v>110.2</v>
      </c>
      <c r="Z109" s="423">
        <v>100.6</v>
      </c>
      <c r="AA109" s="424">
        <v>99.7</v>
      </c>
      <c r="AB109" s="244"/>
      <c r="AC109" s="263" t="s">
        <v>77</v>
      </c>
    </row>
    <row r="110" spans="1:29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418">
        <v>93</v>
      </c>
      <c r="W110" s="355">
        <v>125.4</v>
      </c>
      <c r="X110" s="352">
        <v>124.3</v>
      </c>
      <c r="Y110" s="353">
        <v>113.5</v>
      </c>
      <c r="Z110" s="425">
        <v>93.5</v>
      </c>
      <c r="AA110" s="426">
        <v>92.5</v>
      </c>
      <c r="AB110" s="244"/>
      <c r="AC110" s="263" t="s">
        <v>77</v>
      </c>
    </row>
    <row r="111" spans="1:29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416">
        <v>87.2</v>
      </c>
      <c r="W111" s="361">
        <v>125.9</v>
      </c>
      <c r="X111" s="359">
        <v>123.9</v>
      </c>
      <c r="Y111" s="360">
        <v>114.1</v>
      </c>
      <c r="Z111" s="421">
        <v>87.7</v>
      </c>
      <c r="AA111" s="422">
        <v>86.6</v>
      </c>
      <c r="AB111" s="244"/>
      <c r="AC111" s="263" t="s">
        <v>77</v>
      </c>
    </row>
    <row r="112" spans="1:29" ht="18" customHeight="1" x14ac:dyDescent="0.3">
      <c r="A112" s="244"/>
      <c r="B112" s="223">
        <v>3</v>
      </c>
      <c r="C112" s="224">
        <v>2016</v>
      </c>
      <c r="D112" s="300">
        <v>120.4</v>
      </c>
      <c r="E112" s="301">
        <v>120.1</v>
      </c>
      <c r="F112" s="302">
        <v>121.2</v>
      </c>
      <c r="G112" s="303">
        <v>119.7</v>
      </c>
      <c r="H112" s="300">
        <v>121.7</v>
      </c>
      <c r="I112" s="304">
        <v>118.5</v>
      </c>
      <c r="J112" s="305">
        <v>120.5</v>
      </c>
      <c r="K112" s="302">
        <v>119.5</v>
      </c>
      <c r="L112" s="300">
        <v>119</v>
      </c>
      <c r="M112" s="304">
        <v>121.6</v>
      </c>
      <c r="N112" s="306">
        <v>120.8</v>
      </c>
      <c r="O112" s="307">
        <v>119.8</v>
      </c>
      <c r="P112" s="300">
        <v>119</v>
      </c>
      <c r="Q112" s="307">
        <v>120.1</v>
      </c>
      <c r="R112" s="248"/>
      <c r="S112" s="358">
        <v>105.8</v>
      </c>
      <c r="T112" s="359">
        <v>109.9</v>
      </c>
      <c r="U112" s="360">
        <v>95.6</v>
      </c>
      <c r="V112" s="416">
        <v>88.6</v>
      </c>
      <c r="W112" s="361">
        <v>127.2</v>
      </c>
      <c r="X112" s="359">
        <v>125.2</v>
      </c>
      <c r="Y112" s="360">
        <v>115.3</v>
      </c>
      <c r="Z112" s="421">
        <v>89.1</v>
      </c>
      <c r="AA112" s="422">
        <v>88</v>
      </c>
      <c r="AB112" s="244"/>
      <c r="AC112" s="263" t="s">
        <v>77</v>
      </c>
    </row>
    <row r="113" spans="1:29" ht="18" customHeight="1" x14ac:dyDescent="0.3">
      <c r="A113" s="244"/>
      <c r="B113" s="223">
        <v>4</v>
      </c>
      <c r="C113" s="224">
        <v>2016</v>
      </c>
      <c r="D113" s="300">
        <v>121.2</v>
      </c>
      <c r="E113" s="301">
        <v>121.1</v>
      </c>
      <c r="F113" s="302">
        <v>122.2</v>
      </c>
      <c r="G113" s="303">
        <v>120.7</v>
      </c>
      <c r="H113" s="300">
        <v>122.7</v>
      </c>
      <c r="I113" s="304">
        <v>119.5</v>
      </c>
      <c r="J113" s="305">
        <v>121.6</v>
      </c>
      <c r="K113" s="302">
        <v>120.6</v>
      </c>
      <c r="L113" s="300">
        <v>120.4</v>
      </c>
      <c r="M113" s="304">
        <v>122.6</v>
      </c>
      <c r="N113" s="306">
        <v>121.8</v>
      </c>
      <c r="O113" s="307">
        <v>120.9</v>
      </c>
      <c r="P113" s="300">
        <v>119.9</v>
      </c>
      <c r="Q113" s="307">
        <v>121.5</v>
      </c>
      <c r="R113" s="248"/>
      <c r="S113" s="358">
        <v>106.6</v>
      </c>
      <c r="T113" s="359">
        <v>113.1</v>
      </c>
      <c r="U113" s="360">
        <v>97.3</v>
      </c>
      <c r="V113" s="416">
        <v>97.3</v>
      </c>
      <c r="W113" s="361">
        <v>127.8</v>
      </c>
      <c r="X113" s="359">
        <v>125.2</v>
      </c>
      <c r="Y113" s="360">
        <v>115.4</v>
      </c>
      <c r="Z113" s="421">
        <v>98</v>
      </c>
      <c r="AA113" s="422">
        <v>96.6</v>
      </c>
      <c r="AB113" s="244"/>
      <c r="AC113" s="263" t="s">
        <v>77</v>
      </c>
    </row>
    <row r="114" spans="1:29" ht="18" customHeight="1" x14ac:dyDescent="0.3">
      <c r="A114" s="244"/>
      <c r="B114" s="223">
        <v>5</v>
      </c>
      <c r="C114" s="224">
        <v>2016</v>
      </c>
      <c r="D114" s="300">
        <v>121.2</v>
      </c>
      <c r="E114" s="301">
        <v>121.4</v>
      </c>
      <c r="F114" s="302">
        <v>122.5</v>
      </c>
      <c r="G114" s="303">
        <v>121</v>
      </c>
      <c r="H114" s="300">
        <v>123</v>
      </c>
      <c r="I114" s="304">
        <v>119.8</v>
      </c>
      <c r="J114" s="305">
        <v>122.1</v>
      </c>
      <c r="K114" s="302">
        <v>120.9</v>
      </c>
      <c r="L114" s="300">
        <v>120.8</v>
      </c>
      <c r="M114" s="304">
        <v>122.9</v>
      </c>
      <c r="N114" s="306">
        <v>122</v>
      </c>
      <c r="O114" s="307">
        <v>121.2</v>
      </c>
      <c r="P114" s="300">
        <v>120.1</v>
      </c>
      <c r="Q114" s="307">
        <v>121.7</v>
      </c>
      <c r="R114" s="248"/>
      <c r="S114" s="358">
        <v>109.2</v>
      </c>
      <c r="T114" s="359">
        <v>117.2</v>
      </c>
      <c r="U114" s="360">
        <v>98.8</v>
      </c>
      <c r="V114" s="416">
        <v>97.2</v>
      </c>
      <c r="W114" s="361">
        <v>128.80000000000001</v>
      </c>
      <c r="X114" s="359">
        <v>125.5</v>
      </c>
      <c r="Y114" s="360">
        <v>116.5</v>
      </c>
      <c r="Z114" s="421">
        <v>97.9</v>
      </c>
      <c r="AA114" s="422">
        <v>96.5</v>
      </c>
      <c r="AB114" s="244"/>
      <c r="AC114" s="263" t="s">
        <v>77</v>
      </c>
    </row>
    <row r="115" spans="1:29" ht="18" customHeight="1" x14ac:dyDescent="0.3">
      <c r="A115" s="244"/>
      <c r="B115" s="223">
        <v>6</v>
      </c>
      <c r="C115" s="224">
        <v>2016</v>
      </c>
      <c r="D115" s="300">
        <v>122.1</v>
      </c>
      <c r="E115" s="301">
        <v>122.4</v>
      </c>
      <c r="F115" s="302">
        <v>123</v>
      </c>
      <c r="G115" s="303">
        <v>121.8</v>
      </c>
      <c r="H115" s="300">
        <v>123.7</v>
      </c>
      <c r="I115" s="304">
        <v>120.8</v>
      </c>
      <c r="J115" s="305">
        <v>122.7</v>
      </c>
      <c r="K115" s="302">
        <v>121.8</v>
      </c>
      <c r="L115" s="300">
        <v>121.3</v>
      </c>
      <c r="M115" s="304">
        <v>123.8</v>
      </c>
      <c r="N115" s="306">
        <v>122.5</v>
      </c>
      <c r="O115" s="307">
        <v>121.8</v>
      </c>
      <c r="P115" s="300">
        <v>120.7</v>
      </c>
      <c r="Q115" s="307">
        <v>122.1</v>
      </c>
      <c r="R115" s="248"/>
      <c r="S115" s="358">
        <v>109.4</v>
      </c>
      <c r="T115" s="359">
        <v>117</v>
      </c>
      <c r="U115" s="360">
        <v>101.9</v>
      </c>
      <c r="V115" s="416">
        <v>104.4</v>
      </c>
      <c r="W115" s="361">
        <v>129.9</v>
      </c>
      <c r="X115" s="359">
        <v>126.3</v>
      </c>
      <c r="Y115" s="360">
        <v>118</v>
      </c>
      <c r="Z115" s="421">
        <v>105</v>
      </c>
      <c r="AA115" s="422">
        <v>103.7</v>
      </c>
      <c r="AB115" s="244"/>
      <c r="AC115" s="263" t="s">
        <v>77</v>
      </c>
    </row>
    <row r="116" spans="1:29" ht="18" customHeight="1" x14ac:dyDescent="0.3">
      <c r="A116" s="244"/>
      <c r="B116" s="223">
        <v>7</v>
      </c>
      <c r="C116" s="224">
        <v>2016</v>
      </c>
      <c r="D116" s="300">
        <v>122.9</v>
      </c>
      <c r="E116" s="301">
        <v>123.5</v>
      </c>
      <c r="F116" s="302">
        <v>124.5</v>
      </c>
      <c r="G116" s="303">
        <v>123.1</v>
      </c>
      <c r="H116" s="300">
        <v>124.7</v>
      </c>
      <c r="I116" s="304">
        <v>122.2</v>
      </c>
      <c r="J116" s="305">
        <v>124.1</v>
      </c>
      <c r="K116" s="302">
        <v>123.2</v>
      </c>
      <c r="L116" s="300">
        <v>122.2</v>
      </c>
      <c r="M116" s="304">
        <v>125</v>
      </c>
      <c r="N116" s="306">
        <v>123.3</v>
      </c>
      <c r="O116" s="307">
        <v>122.9</v>
      </c>
      <c r="P116" s="300">
        <v>121.4</v>
      </c>
      <c r="Q116" s="307">
        <v>123.1</v>
      </c>
      <c r="R116" s="248"/>
      <c r="S116" s="358">
        <v>108.8</v>
      </c>
      <c r="T116" s="359">
        <v>115.8</v>
      </c>
      <c r="U116" s="360">
        <v>102.4</v>
      </c>
      <c r="V116" s="416">
        <v>108.3</v>
      </c>
      <c r="W116" s="361">
        <v>130.5</v>
      </c>
      <c r="X116" s="359">
        <v>125.8</v>
      </c>
      <c r="Y116" s="360">
        <v>117.6</v>
      </c>
      <c r="Z116" s="421">
        <v>108.9</v>
      </c>
      <c r="AA116" s="422">
        <v>107.7</v>
      </c>
      <c r="AB116" s="244"/>
      <c r="AC116" s="263" t="s">
        <v>77</v>
      </c>
    </row>
    <row r="117" spans="1:29" ht="18" customHeight="1" x14ac:dyDescent="0.3">
      <c r="A117" s="244"/>
      <c r="B117" s="223"/>
      <c r="C117" s="224"/>
      <c r="D117" s="479" t="s">
        <v>118</v>
      </c>
      <c r="E117" s="480"/>
      <c r="F117" s="480"/>
      <c r="G117" s="480"/>
      <c r="H117" s="480"/>
      <c r="I117" s="480"/>
      <c r="J117" s="480"/>
      <c r="K117" s="480"/>
      <c r="L117" s="480"/>
      <c r="M117" s="480"/>
      <c r="N117" s="480"/>
      <c r="O117" s="480"/>
      <c r="P117" s="480"/>
      <c r="Q117" s="481"/>
      <c r="R117" s="248"/>
      <c r="S117" s="479" t="s">
        <v>118</v>
      </c>
      <c r="T117" s="480"/>
      <c r="U117" s="480"/>
      <c r="V117" s="480"/>
      <c r="W117" s="480"/>
      <c r="X117" s="480"/>
      <c r="Y117" s="480"/>
      <c r="Z117" s="480"/>
      <c r="AA117" s="481"/>
      <c r="AB117" s="244"/>
      <c r="AC117" s="263"/>
    </row>
    <row r="118" spans="1:29" ht="18" customHeight="1" x14ac:dyDescent="0.3">
      <c r="A118" s="244"/>
      <c r="B118" s="223"/>
      <c r="C118" s="224"/>
      <c r="D118" s="482" t="s">
        <v>109</v>
      </c>
      <c r="E118" s="483"/>
      <c r="F118" s="483"/>
      <c r="G118" s="483"/>
      <c r="H118" s="483"/>
      <c r="I118" s="483"/>
      <c r="J118" s="483"/>
      <c r="K118" s="483"/>
      <c r="L118" s="483"/>
      <c r="M118" s="483"/>
      <c r="N118" s="483"/>
      <c r="O118" s="483"/>
      <c r="P118" s="483"/>
      <c r="Q118" s="484"/>
      <c r="R118" s="248"/>
      <c r="S118" s="482" t="s">
        <v>109</v>
      </c>
      <c r="T118" s="483"/>
      <c r="U118" s="483"/>
      <c r="V118" s="483"/>
      <c r="W118" s="483"/>
      <c r="X118" s="483"/>
      <c r="Y118" s="483"/>
      <c r="Z118" s="483"/>
      <c r="AA118" s="484"/>
      <c r="AB118" s="244"/>
      <c r="AC118" s="263"/>
    </row>
    <row r="119" spans="1:29" ht="18" customHeight="1" x14ac:dyDescent="0.3">
      <c r="A119" s="244"/>
      <c r="B119" s="223">
        <v>8</v>
      </c>
      <c r="C119" s="224">
        <v>2016</v>
      </c>
      <c r="D119" s="300"/>
      <c r="E119" s="301"/>
      <c r="F119" s="302"/>
      <c r="G119" s="303"/>
      <c r="H119" s="300"/>
      <c r="I119" s="304"/>
      <c r="J119" s="305"/>
      <c r="K119" s="302"/>
      <c r="L119" s="300"/>
      <c r="M119" s="304"/>
      <c r="N119" s="306"/>
      <c r="O119" s="307"/>
      <c r="P119" s="300"/>
      <c r="Q119" s="307"/>
      <c r="R119" s="248"/>
      <c r="S119" s="358"/>
      <c r="T119" s="359"/>
      <c r="U119" s="360"/>
      <c r="V119" s="336"/>
      <c r="W119" s="361"/>
      <c r="X119" s="359"/>
      <c r="Y119" s="360"/>
      <c r="Z119" s="363"/>
      <c r="AA119" s="278"/>
      <c r="AB119" s="244"/>
      <c r="AC119" s="263"/>
    </row>
    <row r="120" spans="1:29" ht="18" customHeight="1" x14ac:dyDescent="0.3">
      <c r="A120" s="244"/>
      <c r="B120" s="223">
        <v>9</v>
      </c>
      <c r="C120" s="224">
        <v>2016</v>
      </c>
      <c r="D120" s="300"/>
      <c r="E120" s="301"/>
      <c r="F120" s="302"/>
      <c r="G120" s="303"/>
      <c r="H120" s="300"/>
      <c r="I120" s="304"/>
      <c r="J120" s="305"/>
      <c r="K120" s="302"/>
      <c r="L120" s="300"/>
      <c r="M120" s="304"/>
      <c r="N120" s="306"/>
      <c r="O120" s="307"/>
      <c r="P120" s="300"/>
      <c r="Q120" s="307"/>
      <c r="R120" s="248"/>
      <c r="S120" s="358"/>
      <c r="T120" s="359"/>
      <c r="U120" s="360"/>
      <c r="V120" s="336"/>
      <c r="W120" s="361"/>
      <c r="X120" s="359"/>
      <c r="Y120" s="360"/>
      <c r="Z120" s="363"/>
      <c r="AA120" s="278"/>
      <c r="AB120" s="244"/>
      <c r="AC120" s="263"/>
    </row>
    <row r="121" spans="1:29" ht="18" customHeight="1" x14ac:dyDescent="0.3">
      <c r="A121" s="244"/>
      <c r="B121" s="223">
        <v>10</v>
      </c>
      <c r="C121" s="224">
        <v>2016</v>
      </c>
      <c r="D121" s="300"/>
      <c r="E121" s="301"/>
      <c r="F121" s="302"/>
      <c r="G121" s="303"/>
      <c r="H121" s="300"/>
      <c r="I121" s="304"/>
      <c r="J121" s="305"/>
      <c r="K121" s="302"/>
      <c r="L121" s="300"/>
      <c r="M121" s="304"/>
      <c r="N121" s="306"/>
      <c r="O121" s="307"/>
      <c r="P121" s="300"/>
      <c r="Q121" s="307"/>
      <c r="R121" s="248"/>
      <c r="S121" s="358"/>
      <c r="T121" s="359"/>
      <c r="U121" s="360"/>
      <c r="V121" s="336"/>
      <c r="W121" s="361"/>
      <c r="X121" s="359"/>
      <c r="Y121" s="360"/>
      <c r="Z121" s="363"/>
      <c r="AA121" s="278"/>
      <c r="AB121" s="244"/>
      <c r="AC121" s="263"/>
    </row>
    <row r="122" spans="1:29" ht="18" customHeight="1" x14ac:dyDescent="0.3">
      <c r="A122" s="244"/>
      <c r="B122" s="223">
        <v>11</v>
      </c>
      <c r="C122" s="224">
        <v>2016</v>
      </c>
      <c r="D122" s="300"/>
      <c r="E122" s="301"/>
      <c r="F122" s="302"/>
      <c r="G122" s="303"/>
      <c r="H122" s="300"/>
      <c r="I122" s="304"/>
      <c r="J122" s="305"/>
      <c r="K122" s="302"/>
      <c r="L122" s="300"/>
      <c r="M122" s="304"/>
      <c r="N122" s="306"/>
      <c r="O122" s="307"/>
      <c r="P122" s="300"/>
      <c r="Q122" s="307"/>
      <c r="R122" s="248"/>
      <c r="S122" s="358"/>
      <c r="T122" s="359"/>
      <c r="U122" s="360"/>
      <c r="V122" s="336"/>
      <c r="W122" s="361"/>
      <c r="X122" s="359"/>
      <c r="Y122" s="360"/>
      <c r="Z122" s="363"/>
      <c r="AA122" s="278"/>
      <c r="AB122" s="244"/>
      <c r="AC122" s="263"/>
    </row>
    <row r="123" spans="1:29" ht="18" customHeight="1" x14ac:dyDescent="0.3">
      <c r="A123" s="244"/>
      <c r="B123" s="225">
        <v>12</v>
      </c>
      <c r="C123" s="226">
        <v>2016</v>
      </c>
      <c r="D123" s="308"/>
      <c r="E123" s="309"/>
      <c r="F123" s="310"/>
      <c r="G123" s="311"/>
      <c r="H123" s="308"/>
      <c r="I123" s="312"/>
      <c r="J123" s="313"/>
      <c r="K123" s="310"/>
      <c r="L123" s="308"/>
      <c r="M123" s="312"/>
      <c r="N123" s="314"/>
      <c r="O123" s="315"/>
      <c r="P123" s="308"/>
      <c r="Q123" s="315"/>
      <c r="R123" s="248"/>
      <c r="S123" s="364"/>
      <c r="T123" s="365"/>
      <c r="U123" s="366"/>
      <c r="V123" s="346"/>
      <c r="W123" s="367"/>
      <c r="X123" s="365"/>
      <c r="Y123" s="366"/>
      <c r="Z123" s="369"/>
      <c r="AA123" s="286"/>
      <c r="AB123" s="244"/>
      <c r="AC123" s="263"/>
    </row>
    <row r="124" spans="1:29" ht="15" customHeight="1" x14ac:dyDescent="0.3">
      <c r="A124" s="265"/>
      <c r="B124" s="266"/>
      <c r="C124" s="266"/>
      <c r="D124" s="266"/>
      <c r="E124" s="266"/>
      <c r="F124" s="266"/>
      <c r="G124" s="266"/>
      <c r="H124" s="266"/>
      <c r="I124" s="266"/>
      <c r="J124" s="266"/>
      <c r="K124" s="266"/>
      <c r="L124" s="266"/>
      <c r="M124" s="266"/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7"/>
      <c r="AC124" s="263"/>
    </row>
    <row r="125" spans="1:29" ht="15" hidden="1" customHeight="1" thickBot="1" x14ac:dyDescent="0.35">
      <c r="A125" s="244"/>
      <c r="B125" s="249"/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/>
      <c r="S125" s="249"/>
      <c r="T125" s="249"/>
      <c r="U125" s="249"/>
      <c r="V125" s="249"/>
      <c r="W125" s="249"/>
      <c r="X125" s="249"/>
      <c r="Y125" s="249"/>
      <c r="Z125" s="249"/>
      <c r="AA125" s="249"/>
      <c r="AB125" s="249"/>
      <c r="AC125" s="201"/>
    </row>
    <row r="126" spans="1:29" s="217" customFormat="1" ht="15" hidden="1" customHeight="1" thickBot="1" x14ac:dyDescent="0.35">
      <c r="A126" s="251"/>
      <c r="B126" s="251"/>
      <c r="C126" s="252"/>
      <c r="D126" s="207">
        <v>0.79176563740000006</v>
      </c>
      <c r="E126" s="207">
        <v>0.78616352199999995</v>
      </c>
      <c r="F126" s="207">
        <v>0.78802206460000002</v>
      </c>
      <c r="G126" s="207">
        <v>0.77519379840000002</v>
      </c>
      <c r="H126" s="207">
        <v>0.77579519009999998</v>
      </c>
      <c r="I126" s="207">
        <v>0.8006405124</v>
      </c>
      <c r="J126" s="207">
        <v>0.78554595439999997</v>
      </c>
      <c r="K126" s="207">
        <v>0.79491255959999996</v>
      </c>
      <c r="L126" s="207">
        <v>0.77279752700000004</v>
      </c>
      <c r="M126" s="207">
        <v>0.78864353310000002</v>
      </c>
      <c r="N126" s="207">
        <v>0.80385852089999998</v>
      </c>
      <c r="O126" s="207">
        <v>0.78247261349999997</v>
      </c>
      <c r="P126" s="207">
        <v>0.78740157479999995</v>
      </c>
      <c r="Q126" s="207">
        <v>0.79744816590000001</v>
      </c>
      <c r="R126" s="243"/>
      <c r="S126" s="216">
        <v>2.2719999999999998</v>
      </c>
      <c r="T126" s="213">
        <v>2.89</v>
      </c>
      <c r="U126" s="218">
        <v>3.22</v>
      </c>
      <c r="V126" s="219">
        <v>4.149</v>
      </c>
      <c r="W126" s="216">
        <v>1.909</v>
      </c>
      <c r="X126" s="213">
        <v>2.1960000000000002</v>
      </c>
      <c r="Y126" s="218">
        <v>1.992</v>
      </c>
      <c r="Z126" s="216">
        <v>4.24</v>
      </c>
      <c r="AA126" s="220">
        <v>4.2050000000000001</v>
      </c>
      <c r="AB126" s="251"/>
    </row>
    <row r="127" spans="1:29" ht="15" hidden="1" customHeight="1" x14ac:dyDescent="0.3">
      <c r="A127" s="244"/>
      <c r="B127" s="244"/>
      <c r="C127" s="244"/>
      <c r="D127" s="244"/>
      <c r="E127" s="244"/>
      <c r="F127" s="244"/>
      <c r="G127" s="244"/>
      <c r="H127" s="244"/>
      <c r="I127" s="244"/>
      <c r="J127" s="244"/>
      <c r="K127" s="244"/>
      <c r="L127" s="244"/>
      <c r="M127" s="244"/>
      <c r="N127" s="244"/>
      <c r="O127" s="244"/>
      <c r="P127" s="244"/>
      <c r="Q127" s="244"/>
      <c r="R127" s="244"/>
      <c r="S127" s="244"/>
      <c r="T127" s="244"/>
      <c r="U127" s="244"/>
      <c r="V127" s="244"/>
      <c r="W127" s="244"/>
      <c r="X127" s="244"/>
      <c r="Y127" s="244"/>
      <c r="Z127" s="244"/>
      <c r="AA127" s="244"/>
      <c r="AB127" s="244"/>
    </row>
    <row r="128" spans="1:29" ht="15" hidden="1" customHeight="1" x14ac:dyDescent="0.3"/>
    <row r="129" spans="4:27" ht="15" hidden="1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</row>
    <row r="130" spans="4:27" ht="18" hidden="1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S130" s="409"/>
      <c r="T130" s="409"/>
      <c r="U130" s="409"/>
      <c r="V130" s="409"/>
      <c r="W130" s="409"/>
      <c r="X130" s="409"/>
      <c r="Y130" s="409"/>
      <c r="Z130" s="409"/>
      <c r="AA130" s="409"/>
    </row>
    <row r="131" spans="4:27" ht="18" hidden="1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S131" s="409"/>
      <c r="T131" s="409"/>
      <c r="U131" s="409"/>
      <c r="V131" s="409"/>
      <c r="W131" s="409"/>
      <c r="X131" s="409"/>
      <c r="Y131" s="409"/>
      <c r="Z131" s="409"/>
      <c r="AA131" s="409"/>
    </row>
    <row r="132" spans="4:27" ht="18" hidden="1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S132" s="409"/>
      <c r="T132" s="409"/>
      <c r="U132" s="409"/>
      <c r="V132" s="409"/>
      <c r="W132" s="409"/>
      <c r="X132" s="409"/>
      <c r="Y132" s="409"/>
      <c r="Z132" s="409"/>
      <c r="AA132" s="409"/>
    </row>
    <row r="133" spans="4:27" ht="18" hidden="1" customHeight="1" x14ac:dyDescent="0.3">
      <c r="D133" s="409"/>
      <c r="E133" s="409"/>
      <c r="F133" s="409"/>
      <c r="G133" s="409"/>
      <c r="H133" s="409"/>
      <c r="I133" s="409"/>
      <c r="J133" s="409"/>
      <c r="K133" s="409"/>
      <c r="L133" s="409"/>
      <c r="M133" s="409"/>
      <c r="N133" s="409"/>
      <c r="O133" s="409"/>
      <c r="P133" s="409"/>
      <c r="Q133" s="409"/>
      <c r="S133" s="409"/>
      <c r="T133" s="409"/>
      <c r="U133" s="409"/>
      <c r="V133" s="409"/>
      <c r="W133" s="409"/>
      <c r="X133" s="409"/>
      <c r="Y133" s="409"/>
      <c r="Z133" s="409"/>
      <c r="AA133" s="409"/>
    </row>
    <row r="134" spans="4:27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  <c r="S134" s="409"/>
      <c r="T134" s="409"/>
      <c r="U134" s="409"/>
      <c r="V134" s="409"/>
      <c r="W134" s="409"/>
      <c r="X134" s="409"/>
      <c r="Y134" s="409"/>
      <c r="Z134" s="409"/>
      <c r="AA134" s="409"/>
    </row>
    <row r="135" spans="4:27" ht="18" customHeight="1" x14ac:dyDescent="0.3">
      <c r="D135" s="409"/>
      <c r="E135" s="409"/>
      <c r="F135" s="409"/>
      <c r="G135" s="409"/>
      <c r="H135" s="409"/>
      <c r="I135" s="409"/>
      <c r="J135" s="409"/>
      <c r="K135" s="409"/>
      <c r="L135" s="409"/>
      <c r="M135" s="409"/>
      <c r="N135" s="409"/>
      <c r="O135" s="409"/>
      <c r="P135" s="409"/>
      <c r="Q135" s="409"/>
      <c r="S135" s="409"/>
      <c r="T135" s="409"/>
      <c r="U135" s="409"/>
      <c r="V135" s="409"/>
      <c r="W135" s="409"/>
      <c r="X135" s="409"/>
      <c r="Y135" s="409"/>
      <c r="Z135" s="409"/>
      <c r="AA135" s="409"/>
    </row>
    <row r="136" spans="4:27" ht="18" customHeight="1" x14ac:dyDescent="0.3">
      <c r="D136" s="409"/>
      <c r="E136" s="409"/>
      <c r="F136" s="409"/>
      <c r="G136" s="409"/>
      <c r="H136" s="409"/>
      <c r="I136" s="409"/>
      <c r="J136" s="409"/>
      <c r="K136" s="409"/>
      <c r="L136" s="409"/>
      <c r="M136" s="409"/>
      <c r="N136" s="409"/>
      <c r="O136" s="409"/>
      <c r="P136" s="409"/>
      <c r="Q136" s="409"/>
      <c r="R136" s="409"/>
      <c r="S136" s="409"/>
      <c r="T136" s="409"/>
      <c r="U136" s="409"/>
      <c r="V136" s="409"/>
      <c r="W136" s="409"/>
      <c r="X136" s="409"/>
      <c r="Y136" s="409"/>
      <c r="Z136" s="409"/>
      <c r="AA136" s="409"/>
    </row>
    <row r="137" spans="4:27" ht="18" customHeight="1" x14ac:dyDescent="0.3">
      <c r="D137" s="409"/>
      <c r="E137" s="409"/>
      <c r="F137" s="409"/>
      <c r="G137" s="409"/>
      <c r="H137" s="409"/>
      <c r="I137" s="409"/>
      <c r="J137" s="409"/>
      <c r="K137" s="409"/>
      <c r="L137" s="409"/>
      <c r="M137" s="409"/>
      <c r="N137" s="409"/>
      <c r="O137" s="409"/>
      <c r="P137" s="409"/>
      <c r="Q137" s="409"/>
      <c r="R137" s="409"/>
      <c r="S137" s="409"/>
      <c r="T137" s="409"/>
      <c r="U137" s="409"/>
      <c r="V137" s="409"/>
      <c r="W137" s="409"/>
      <c r="X137" s="409"/>
      <c r="Y137" s="409"/>
      <c r="Z137" s="409"/>
      <c r="AA137" s="409"/>
    </row>
    <row r="138" spans="4:27" ht="18" customHeight="1" x14ac:dyDescent="0.3">
      <c r="D138" s="409"/>
      <c r="E138" s="409"/>
      <c r="F138" s="409"/>
      <c r="G138" s="409"/>
      <c r="H138" s="409"/>
      <c r="I138" s="409"/>
      <c r="J138" s="409"/>
      <c r="K138" s="409"/>
      <c r="L138" s="409"/>
      <c r="M138" s="409"/>
      <c r="N138" s="409"/>
      <c r="O138" s="409"/>
      <c r="P138" s="409"/>
      <c r="Q138" s="409"/>
    </row>
    <row r="139" spans="4:27" ht="18" customHeight="1" x14ac:dyDescent="0.3">
      <c r="D139" s="409"/>
      <c r="E139" s="409"/>
      <c r="F139" s="409"/>
      <c r="G139" s="409"/>
      <c r="H139" s="409"/>
      <c r="I139" s="409"/>
      <c r="J139" s="409"/>
      <c r="K139" s="409"/>
      <c r="L139" s="409"/>
      <c r="M139" s="409"/>
      <c r="N139" s="409"/>
      <c r="O139" s="409"/>
      <c r="P139" s="409"/>
      <c r="Q139" s="409"/>
    </row>
    <row r="140" spans="4:27" ht="18" customHeight="1" x14ac:dyDescent="0.3">
      <c r="D140" s="409"/>
      <c r="E140" s="409"/>
      <c r="F140" s="409"/>
      <c r="G140" s="409"/>
      <c r="H140" s="409"/>
      <c r="I140" s="409"/>
      <c r="J140" s="409"/>
      <c r="K140" s="409"/>
      <c r="L140" s="409"/>
      <c r="M140" s="409"/>
      <c r="N140" s="409"/>
      <c r="O140" s="409"/>
      <c r="P140" s="409"/>
      <c r="Q140" s="409"/>
    </row>
    <row r="141" spans="4:27" ht="18" customHeight="1" x14ac:dyDescent="0.3">
      <c r="D141" s="409"/>
    </row>
    <row r="142" spans="4:27" ht="18" customHeight="1" x14ac:dyDescent="0.3">
      <c r="D142" s="409"/>
      <c r="E142" s="409"/>
      <c r="F142" s="409"/>
      <c r="G142" s="409"/>
      <c r="H142" s="409"/>
      <c r="I142" s="409"/>
      <c r="J142" s="409"/>
      <c r="K142" s="409"/>
      <c r="L142" s="409"/>
      <c r="M142" s="409"/>
      <c r="N142" s="409"/>
      <c r="O142" s="409"/>
      <c r="P142" s="409"/>
      <c r="Q142" s="409"/>
    </row>
  </sheetData>
  <mergeCells count="35">
    <mergeCell ref="D117:Q117"/>
    <mergeCell ref="S117:AA117"/>
    <mergeCell ref="D118:Q118"/>
    <mergeCell ref="S118:AA118"/>
    <mergeCell ref="Q12:Q13"/>
    <mergeCell ref="S12:S13"/>
    <mergeCell ref="T12:T13"/>
    <mergeCell ref="K12:K13"/>
    <mergeCell ref="L12:L13"/>
    <mergeCell ref="M12:M13"/>
    <mergeCell ref="N12:N13"/>
    <mergeCell ref="O12:O13"/>
    <mergeCell ref="P12:P13"/>
    <mergeCell ref="E12:E13"/>
    <mergeCell ref="F12:F13"/>
    <mergeCell ref="G12:G13"/>
    <mergeCell ref="B7:C7"/>
    <mergeCell ref="B11:C11"/>
    <mergeCell ref="E11:F11"/>
    <mergeCell ref="I11:K11"/>
    <mergeCell ref="X4:AA5"/>
    <mergeCell ref="M11:O11"/>
    <mergeCell ref="T11:AA11"/>
    <mergeCell ref="B12:B13"/>
    <mergeCell ref="C12:C13"/>
    <mergeCell ref="D12:D13"/>
    <mergeCell ref="H12:H13"/>
    <mergeCell ref="I12:I13"/>
    <mergeCell ref="Y12:Y13"/>
    <mergeCell ref="Z12:AA12"/>
    <mergeCell ref="J12:J13"/>
    <mergeCell ref="U12:U13"/>
    <mergeCell ref="V12:V13"/>
    <mergeCell ref="W12:W13"/>
    <mergeCell ref="X12:X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34"/>
  <sheetViews>
    <sheetView zoomScaleNormal="100" workbookViewId="0">
      <pane xSplit="3" ySplit="13" topLeftCell="D110" activePane="bottomRight" state="frozen"/>
      <selection pane="topRight" activeCell="D1" sqref="D1"/>
      <selection pane="bottomLeft" activeCell="A14" sqref="A14"/>
      <selection pane="bottomRight" activeCell="B114" sqref="B114"/>
    </sheetView>
  </sheetViews>
  <sheetFormatPr defaultColWidth="9.109375" defaultRowHeight="18" customHeight="1" x14ac:dyDescent="0.3"/>
  <cols>
    <col min="1" max="1" width="1.33203125" style="197" customWidth="1"/>
    <col min="2" max="2" width="8.88671875" style="197" customWidth="1"/>
    <col min="3" max="3" width="8.6640625" style="197" customWidth="1"/>
    <col min="4" max="17" width="13.6640625" style="197" customWidth="1"/>
    <col min="18" max="18" width="1.33203125" style="197" customWidth="1"/>
    <col min="19" max="25" width="16.6640625" style="197" customWidth="1"/>
    <col min="26" max="27" width="13.6640625" style="197" customWidth="1"/>
    <col min="28" max="28" width="1.33203125" style="197" customWidth="1"/>
    <col min="29" max="29" width="18" style="197" customWidth="1"/>
    <col min="30" max="30" width="9.109375" style="197"/>
    <col min="31" max="31" width="9.5546875" style="197" bestFit="1" customWidth="1"/>
    <col min="32" max="37" width="9.109375" style="197"/>
    <col min="38" max="38" width="12" style="197" bestFit="1" customWidth="1"/>
    <col min="39" max="40" width="11" style="197" bestFit="1" customWidth="1"/>
    <col min="41" max="41" width="2.6640625" style="197" customWidth="1"/>
    <col min="42" max="42" width="12" style="197" bestFit="1" customWidth="1"/>
    <col min="43" max="44" width="11" style="197" bestFit="1" customWidth="1"/>
    <col min="45" max="45" width="2.44140625" style="197" customWidth="1"/>
    <col min="46" max="46" width="8.6640625" style="197" bestFit="1" customWidth="1"/>
    <col min="47" max="48" width="11" style="197" bestFit="1" customWidth="1"/>
    <col min="49" max="49" width="2.44140625" style="197" customWidth="1"/>
    <col min="50" max="16384" width="9.109375" style="197"/>
  </cols>
  <sheetData>
    <row r="1" spans="1:31" ht="7.5" customHeight="1" x14ac:dyDescent="0.3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63"/>
    </row>
    <row r="2" spans="1:31" ht="18" customHeight="1" x14ac:dyDescent="0.3">
      <c r="A2" s="244"/>
      <c r="B2" s="244"/>
      <c r="C2" s="244"/>
      <c r="D2" s="254" t="s">
        <v>121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63"/>
    </row>
    <row r="3" spans="1:31" ht="6" customHeight="1" thickBot="1" x14ac:dyDescent="0.35">
      <c r="A3" s="244"/>
      <c r="B3" s="244"/>
      <c r="C3" s="244"/>
      <c r="D3" s="25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63"/>
    </row>
    <row r="4" spans="1:31" ht="18" customHeight="1" x14ac:dyDescent="0.3">
      <c r="A4" s="244"/>
      <c r="B4" s="244"/>
      <c r="C4" s="244"/>
      <c r="D4" s="256" t="s">
        <v>69</v>
      </c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9"/>
      <c r="R4" s="245"/>
      <c r="S4" s="256" t="s">
        <v>71</v>
      </c>
      <c r="T4" s="257"/>
      <c r="U4" s="258"/>
      <c r="V4" s="258"/>
      <c r="W4" s="258"/>
      <c r="X4" s="498" t="s">
        <v>112</v>
      </c>
      <c r="Y4" s="499"/>
      <c r="Z4" s="499"/>
      <c r="AA4" s="500"/>
      <c r="AB4" s="244"/>
      <c r="AC4" s="263"/>
    </row>
    <row r="5" spans="1:31" ht="18" customHeight="1" thickBot="1" x14ac:dyDescent="0.35">
      <c r="A5" s="244"/>
      <c r="B5" s="244"/>
      <c r="C5" s="244"/>
      <c r="D5" s="260" t="s">
        <v>70</v>
      </c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62"/>
      <c r="R5" s="245"/>
      <c r="S5" s="260" t="s">
        <v>52</v>
      </c>
      <c r="T5" s="245"/>
      <c r="U5" s="261"/>
      <c r="V5" s="261"/>
      <c r="W5" s="261"/>
      <c r="X5" s="501"/>
      <c r="Y5" s="502"/>
      <c r="Z5" s="502"/>
      <c r="AA5" s="503"/>
      <c r="AB5" s="244"/>
      <c r="AC5" s="263"/>
    </row>
    <row r="6" spans="1:31" ht="6" customHeight="1" thickBot="1" x14ac:dyDescent="0.35">
      <c r="A6" s="244"/>
      <c r="B6" s="244"/>
      <c r="C6" s="244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45"/>
      <c r="S6" s="255"/>
      <c r="T6" s="255"/>
      <c r="U6" s="255"/>
      <c r="V6" s="255"/>
      <c r="W6" s="255"/>
      <c r="X6" s="255"/>
      <c r="Y6" s="255"/>
      <c r="Z6" s="255"/>
      <c r="AA6" s="255"/>
      <c r="AB6" s="244"/>
      <c r="AC6" s="263"/>
    </row>
    <row r="7" spans="1:31" s="196" customFormat="1" ht="28.5" customHeight="1" thickBot="1" x14ac:dyDescent="0.35">
      <c r="A7" s="250"/>
      <c r="B7" s="463" t="s">
        <v>66</v>
      </c>
      <c r="C7" s="464"/>
      <c r="D7" s="207">
        <v>0.79176563740000006</v>
      </c>
      <c r="E7" s="208">
        <v>0.78616352199999995</v>
      </c>
      <c r="F7" s="209">
        <v>0.78802206460000002</v>
      </c>
      <c r="G7" s="207">
        <v>0.77519379840000002</v>
      </c>
      <c r="H7" s="207">
        <v>0.77579519009999998</v>
      </c>
      <c r="I7" s="208">
        <v>0.8006405124</v>
      </c>
      <c r="J7" s="385">
        <v>0.78554595439999997</v>
      </c>
      <c r="K7" s="386">
        <v>0.79491255959999996</v>
      </c>
      <c r="L7" s="207">
        <v>0.77279752700000004</v>
      </c>
      <c r="M7" s="210">
        <v>0.78864353310000002</v>
      </c>
      <c r="N7" s="211">
        <v>0.80385852089999998</v>
      </c>
      <c r="O7" s="209">
        <v>0.78247261349999997</v>
      </c>
      <c r="P7" s="207">
        <v>0.78740157479999995</v>
      </c>
      <c r="Q7" s="207">
        <v>0.79744816590000001</v>
      </c>
      <c r="R7" s="246"/>
      <c r="S7" s="212">
        <v>2.2719999999999998</v>
      </c>
      <c r="T7" s="213">
        <v>2.89</v>
      </c>
      <c r="U7" s="213">
        <v>3.22</v>
      </c>
      <c r="V7" s="214">
        <v>4.149</v>
      </c>
      <c r="W7" s="214">
        <v>1.909</v>
      </c>
      <c r="X7" s="214">
        <v>2.1960000000000002</v>
      </c>
      <c r="Y7" s="215">
        <v>1.992</v>
      </c>
      <c r="Z7" s="216">
        <v>4.24</v>
      </c>
      <c r="AA7" s="215">
        <v>4.2050000000000001</v>
      </c>
      <c r="AB7" s="253"/>
      <c r="AC7" s="264"/>
      <c r="AD7" s="195"/>
      <c r="AE7" s="195"/>
    </row>
    <row r="8" spans="1:31" ht="6" customHeight="1" thickBot="1" x14ac:dyDescent="0.35">
      <c r="A8" s="244"/>
      <c r="B8" s="244"/>
      <c r="C8" s="244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45"/>
      <c r="S8" s="203"/>
      <c r="T8" s="203"/>
      <c r="U8" s="203"/>
      <c r="V8" s="203"/>
      <c r="W8" s="203"/>
      <c r="X8" s="203"/>
      <c r="Y8" s="203"/>
      <c r="Z8" s="203"/>
      <c r="AA8" s="203"/>
      <c r="AB8" s="244"/>
      <c r="AC8" s="263"/>
    </row>
    <row r="9" spans="1:31" ht="18" customHeight="1" thickBot="1" x14ac:dyDescent="0.35">
      <c r="A9" s="244"/>
      <c r="B9" s="244"/>
      <c r="C9" s="244"/>
      <c r="D9" s="202" t="s">
        <v>94</v>
      </c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200"/>
      <c r="R9" s="247"/>
      <c r="S9" s="202" t="s">
        <v>94</v>
      </c>
      <c r="T9" s="199"/>
      <c r="U9" s="199"/>
      <c r="V9" s="198"/>
      <c r="W9" s="198"/>
      <c r="X9" s="198"/>
      <c r="Y9" s="198"/>
      <c r="Z9" s="198"/>
      <c r="AA9" s="200"/>
      <c r="AB9" s="244"/>
      <c r="AC9" s="263"/>
    </row>
    <row r="10" spans="1:31" ht="6" customHeight="1" thickBot="1" x14ac:dyDescent="0.35">
      <c r="A10" s="244"/>
      <c r="B10" s="244"/>
      <c r="C10" s="244"/>
      <c r="D10" s="255"/>
      <c r="E10" s="255"/>
      <c r="F10" s="255"/>
      <c r="G10" s="255"/>
      <c r="H10" s="255"/>
      <c r="I10" s="255"/>
      <c r="J10" s="255"/>
      <c r="K10" s="255"/>
      <c r="L10" s="255"/>
      <c r="M10" s="255"/>
      <c r="N10" s="255"/>
      <c r="O10" s="255"/>
      <c r="P10" s="255"/>
      <c r="Q10" s="255"/>
      <c r="R10" s="245"/>
      <c r="S10" s="255"/>
      <c r="T10" s="255"/>
      <c r="U10" s="255"/>
      <c r="V10" s="255"/>
      <c r="W10" s="255"/>
      <c r="X10" s="255"/>
      <c r="Y10" s="255"/>
      <c r="Z10" s="255"/>
      <c r="AA10" s="255"/>
      <c r="AB10" s="244"/>
      <c r="AC10" s="263"/>
    </row>
    <row r="11" spans="1:31" ht="18" customHeight="1" thickBot="1" x14ac:dyDescent="0.35">
      <c r="A11" s="244"/>
      <c r="B11" s="465" t="s">
        <v>75</v>
      </c>
      <c r="C11" s="466"/>
      <c r="D11" s="206" t="s">
        <v>8</v>
      </c>
      <c r="E11" s="467" t="s">
        <v>67</v>
      </c>
      <c r="F11" s="468"/>
      <c r="G11" s="204" t="s">
        <v>9</v>
      </c>
      <c r="H11" s="206" t="s">
        <v>58</v>
      </c>
      <c r="I11" s="467" t="s">
        <v>68</v>
      </c>
      <c r="J11" s="469"/>
      <c r="K11" s="468"/>
      <c r="L11" s="206" t="s">
        <v>24</v>
      </c>
      <c r="M11" s="467" t="s">
        <v>11</v>
      </c>
      <c r="N11" s="469"/>
      <c r="O11" s="468"/>
      <c r="P11" s="206" t="s">
        <v>12</v>
      </c>
      <c r="Q11" s="205" t="s">
        <v>13</v>
      </c>
      <c r="R11" s="237"/>
      <c r="S11" s="238" t="s">
        <v>50</v>
      </c>
      <c r="T11" s="476" t="s">
        <v>51</v>
      </c>
      <c r="U11" s="477"/>
      <c r="V11" s="477"/>
      <c r="W11" s="477"/>
      <c r="X11" s="477"/>
      <c r="Y11" s="477"/>
      <c r="Z11" s="477"/>
      <c r="AA11" s="478"/>
      <c r="AB11" s="244"/>
      <c r="AC11" s="263"/>
    </row>
    <row r="12" spans="1:31" ht="18" customHeight="1" thickBot="1" x14ac:dyDescent="0.35">
      <c r="A12" s="244"/>
      <c r="B12" s="455" t="s">
        <v>72</v>
      </c>
      <c r="C12" s="457" t="s">
        <v>73</v>
      </c>
      <c r="D12" s="459" t="s">
        <v>76</v>
      </c>
      <c r="E12" s="461" t="s">
        <v>78</v>
      </c>
      <c r="F12" s="491" t="s">
        <v>79</v>
      </c>
      <c r="G12" s="485" t="s">
        <v>10</v>
      </c>
      <c r="H12" s="459" t="s">
        <v>80</v>
      </c>
      <c r="I12" s="461" t="s">
        <v>81</v>
      </c>
      <c r="J12" s="445" t="s">
        <v>82</v>
      </c>
      <c r="K12" s="491" t="s">
        <v>97</v>
      </c>
      <c r="L12" s="459" t="s">
        <v>83</v>
      </c>
      <c r="M12" s="461" t="s">
        <v>84</v>
      </c>
      <c r="N12" s="493" t="s">
        <v>85</v>
      </c>
      <c r="O12" s="495" t="s">
        <v>15</v>
      </c>
      <c r="P12" s="459" t="s">
        <v>86</v>
      </c>
      <c r="Q12" s="485" t="s">
        <v>3</v>
      </c>
      <c r="R12" s="236"/>
      <c r="S12" s="487" t="s">
        <v>87</v>
      </c>
      <c r="T12" s="489" t="s">
        <v>88</v>
      </c>
      <c r="U12" s="447" t="s">
        <v>89</v>
      </c>
      <c r="V12" s="504" t="s">
        <v>90</v>
      </c>
      <c r="W12" s="451" t="s">
        <v>91</v>
      </c>
      <c r="X12" s="453" t="s">
        <v>92</v>
      </c>
      <c r="Y12" s="441" t="s">
        <v>93</v>
      </c>
      <c r="Z12" s="506" t="s">
        <v>74</v>
      </c>
      <c r="AA12" s="507"/>
      <c r="AB12" s="244"/>
      <c r="AC12" s="263"/>
    </row>
    <row r="13" spans="1:31" ht="18" customHeight="1" thickBot="1" x14ac:dyDescent="0.35">
      <c r="A13" s="244"/>
      <c r="B13" s="456"/>
      <c r="C13" s="458"/>
      <c r="D13" s="460"/>
      <c r="E13" s="462"/>
      <c r="F13" s="492"/>
      <c r="G13" s="486"/>
      <c r="H13" s="460"/>
      <c r="I13" s="462"/>
      <c r="J13" s="446"/>
      <c r="K13" s="492"/>
      <c r="L13" s="460"/>
      <c r="M13" s="462"/>
      <c r="N13" s="494"/>
      <c r="O13" s="496"/>
      <c r="P13" s="460"/>
      <c r="Q13" s="486"/>
      <c r="R13" s="236"/>
      <c r="S13" s="488"/>
      <c r="T13" s="490"/>
      <c r="U13" s="448"/>
      <c r="V13" s="505"/>
      <c r="W13" s="452"/>
      <c r="X13" s="454"/>
      <c r="Y13" s="442"/>
      <c r="Z13" s="241" t="s">
        <v>1</v>
      </c>
      <c r="AA13" s="242" t="s">
        <v>7</v>
      </c>
      <c r="AB13" s="244"/>
      <c r="AC13" s="263"/>
    </row>
    <row r="14" spans="1:31" ht="18" customHeight="1" x14ac:dyDescent="0.3">
      <c r="A14" s="244"/>
      <c r="B14" s="239">
        <v>1</v>
      </c>
      <c r="C14" s="240">
        <v>2008</v>
      </c>
      <c r="D14" s="268">
        <v>75.599999999999994</v>
      </c>
      <c r="E14" s="269">
        <v>75.099999999999994</v>
      </c>
      <c r="F14" s="270">
        <v>74.8</v>
      </c>
      <c r="G14" s="271">
        <v>73.599999999999994</v>
      </c>
      <c r="H14" s="268">
        <v>74.099999999999994</v>
      </c>
      <c r="I14" s="272">
        <v>76.099999999999994</v>
      </c>
      <c r="J14" s="273">
        <v>75</v>
      </c>
      <c r="K14" s="270">
        <v>75.8</v>
      </c>
      <c r="L14" s="268">
        <v>73.3</v>
      </c>
      <c r="M14" s="272">
        <v>75.2</v>
      </c>
      <c r="N14" s="274">
        <v>76.5</v>
      </c>
      <c r="O14" s="275">
        <v>74.8</v>
      </c>
      <c r="P14" s="268">
        <v>75.2</v>
      </c>
      <c r="Q14" s="275">
        <v>76.400000000000006</v>
      </c>
      <c r="R14" s="248"/>
      <c r="S14" s="324">
        <f>184.1/S118</f>
        <v>81.029929577464799</v>
      </c>
      <c r="T14" s="325"/>
      <c r="U14" s="326"/>
      <c r="V14" s="327">
        <f>304.1/V118</f>
        <v>73.294769824054001</v>
      </c>
      <c r="W14" s="328">
        <f>153.7/W118</f>
        <v>80.513357778941852</v>
      </c>
      <c r="X14" s="329"/>
      <c r="Y14" s="330"/>
      <c r="Z14" s="331">
        <f>287.7/Z118</f>
        <v>67.853773584905653</v>
      </c>
      <c r="AA14" s="332">
        <f>284.3/AA118</f>
        <v>67.609988109393583</v>
      </c>
      <c r="AB14" s="244"/>
      <c r="AC14" s="263"/>
    </row>
    <row r="15" spans="1:31" ht="18" customHeight="1" x14ac:dyDescent="0.3">
      <c r="A15" s="244"/>
      <c r="B15" s="234">
        <v>2</v>
      </c>
      <c r="C15" s="230">
        <v>2008</v>
      </c>
      <c r="D15" s="276">
        <v>76</v>
      </c>
      <c r="E15" s="277">
        <v>75.5</v>
      </c>
      <c r="F15" s="278">
        <v>75.099999999999994</v>
      </c>
      <c r="G15" s="279">
        <v>73.900000000000006</v>
      </c>
      <c r="H15" s="276">
        <v>74.599999999999994</v>
      </c>
      <c r="I15" s="280">
        <v>76.5</v>
      </c>
      <c r="J15" s="281">
        <v>75.599999999999994</v>
      </c>
      <c r="K15" s="278">
        <v>76.2</v>
      </c>
      <c r="L15" s="276">
        <v>74</v>
      </c>
      <c r="M15" s="280">
        <v>75.8</v>
      </c>
      <c r="N15" s="282">
        <v>77.099999999999994</v>
      </c>
      <c r="O15" s="283">
        <v>75.3</v>
      </c>
      <c r="P15" s="276">
        <v>75.7</v>
      </c>
      <c r="Q15" s="283">
        <v>77.099999999999994</v>
      </c>
      <c r="R15" s="248"/>
      <c r="S15" s="333">
        <f>186.8/S118</f>
        <v>82.218309859154942</v>
      </c>
      <c r="T15" s="334"/>
      <c r="U15" s="335"/>
      <c r="V15" s="336">
        <f>321.6/V118</f>
        <v>77.512653651482296</v>
      </c>
      <c r="W15" s="337">
        <f>161.4/W118</f>
        <v>84.546883184913568</v>
      </c>
      <c r="X15" s="338"/>
      <c r="Y15" s="339"/>
      <c r="Z15" s="340">
        <f>290.5/Z118</f>
        <v>68.514150943396217</v>
      </c>
      <c r="AA15" s="341">
        <f>287.1/AA118</f>
        <v>68.275862068965523</v>
      </c>
      <c r="AB15" s="244"/>
      <c r="AC15" s="263"/>
    </row>
    <row r="16" spans="1:31" ht="18" customHeight="1" x14ac:dyDescent="0.3">
      <c r="A16" s="244"/>
      <c r="B16" s="234">
        <v>3</v>
      </c>
      <c r="C16" s="230">
        <v>2008</v>
      </c>
      <c r="D16" s="276">
        <v>77.2</v>
      </c>
      <c r="E16" s="277">
        <v>76.5</v>
      </c>
      <c r="F16" s="278">
        <v>76.3</v>
      </c>
      <c r="G16" s="279">
        <v>74.7</v>
      </c>
      <c r="H16" s="276">
        <v>75.7</v>
      </c>
      <c r="I16" s="280">
        <v>77.3</v>
      </c>
      <c r="J16" s="281">
        <v>76.400000000000006</v>
      </c>
      <c r="K16" s="278">
        <v>76.900000000000006</v>
      </c>
      <c r="L16" s="276">
        <v>75.2</v>
      </c>
      <c r="M16" s="280">
        <v>77.099999999999994</v>
      </c>
      <c r="N16" s="282">
        <v>78.5</v>
      </c>
      <c r="O16" s="283">
        <v>76.400000000000006</v>
      </c>
      <c r="P16" s="276">
        <v>76.5</v>
      </c>
      <c r="Q16" s="283">
        <v>78</v>
      </c>
      <c r="R16" s="248"/>
      <c r="S16" s="333">
        <f>187.8/S118</f>
        <v>82.658450704225359</v>
      </c>
      <c r="T16" s="338"/>
      <c r="U16" s="342"/>
      <c r="V16" s="336">
        <f>367.6/V118</f>
        <v>88.599662569293812</v>
      </c>
      <c r="W16" s="337">
        <f>161.4/W118</f>
        <v>84.546883184913568</v>
      </c>
      <c r="X16" s="338"/>
      <c r="Y16" s="339"/>
      <c r="Z16" s="340">
        <f>321.4/Z118</f>
        <v>75.801886792452819</v>
      </c>
      <c r="AA16" s="341">
        <f>318.3/AA118</f>
        <v>75.695600475624261</v>
      </c>
      <c r="AB16" s="244"/>
      <c r="AC16" s="263"/>
    </row>
    <row r="17" spans="1:29" ht="18" customHeight="1" x14ac:dyDescent="0.3">
      <c r="A17" s="244"/>
      <c r="B17" s="234">
        <v>4</v>
      </c>
      <c r="C17" s="230">
        <v>2008</v>
      </c>
      <c r="D17" s="276">
        <v>77.8</v>
      </c>
      <c r="E17" s="277">
        <v>77</v>
      </c>
      <c r="F17" s="278">
        <v>77</v>
      </c>
      <c r="G17" s="279">
        <v>75.599999999999994</v>
      </c>
      <c r="H17" s="276">
        <v>76.2</v>
      </c>
      <c r="I17" s="280">
        <v>78.099999999999994</v>
      </c>
      <c r="J17" s="281">
        <v>77</v>
      </c>
      <c r="K17" s="278">
        <v>77.599999999999994</v>
      </c>
      <c r="L17" s="276">
        <v>75.7</v>
      </c>
      <c r="M17" s="280">
        <v>77.5</v>
      </c>
      <c r="N17" s="282">
        <v>78.900000000000006</v>
      </c>
      <c r="O17" s="283">
        <v>76.8</v>
      </c>
      <c r="P17" s="276">
        <v>77.099999999999994</v>
      </c>
      <c r="Q17" s="283">
        <v>78.400000000000006</v>
      </c>
      <c r="R17" s="248"/>
      <c r="S17" s="333">
        <f>191/S118</f>
        <v>84.066901408450718</v>
      </c>
      <c r="T17" s="338"/>
      <c r="U17" s="342"/>
      <c r="V17" s="336">
        <f>424.9/V118</f>
        <v>102.41021932995902</v>
      </c>
      <c r="W17" s="337">
        <f>161.4/W118</f>
        <v>84.546883184913568</v>
      </c>
      <c r="X17" s="338"/>
      <c r="Y17" s="339"/>
      <c r="Z17" s="340">
        <f>372.6/Z118</f>
        <v>87.877358490566039</v>
      </c>
      <c r="AA17" s="341">
        <f>369.5/AA118</f>
        <v>87.871581450653977</v>
      </c>
      <c r="AB17" s="244"/>
      <c r="AC17" s="263"/>
    </row>
    <row r="18" spans="1:29" ht="18" customHeight="1" x14ac:dyDescent="0.3">
      <c r="A18" s="244"/>
      <c r="B18" s="234">
        <v>5</v>
      </c>
      <c r="C18" s="230">
        <v>2008</v>
      </c>
      <c r="D18" s="276">
        <v>78.2</v>
      </c>
      <c r="E18" s="277">
        <v>77.599999999999994</v>
      </c>
      <c r="F18" s="278">
        <v>77.599999999999994</v>
      </c>
      <c r="G18" s="279">
        <v>76</v>
      </c>
      <c r="H18" s="276">
        <v>76.7</v>
      </c>
      <c r="I18" s="280">
        <v>78.7</v>
      </c>
      <c r="J18" s="281">
        <v>77.5</v>
      </c>
      <c r="K18" s="278">
        <v>78.099999999999994</v>
      </c>
      <c r="L18" s="276">
        <v>76.2</v>
      </c>
      <c r="M18" s="280">
        <v>78</v>
      </c>
      <c r="N18" s="282">
        <v>79.3</v>
      </c>
      <c r="O18" s="283">
        <v>77.5</v>
      </c>
      <c r="P18" s="276">
        <v>77.5</v>
      </c>
      <c r="Q18" s="283">
        <v>79.099999999999994</v>
      </c>
      <c r="R18" s="248"/>
      <c r="S18" s="333">
        <f>199/S118</f>
        <v>87.588028169014095</v>
      </c>
      <c r="T18" s="338"/>
      <c r="U18" s="342"/>
      <c r="V18" s="336">
        <f>471/V118</f>
        <v>113.52133044107013</v>
      </c>
      <c r="W18" s="337">
        <f>168.3/W118</f>
        <v>88.161341016238879</v>
      </c>
      <c r="X18" s="338"/>
      <c r="Y18" s="339"/>
      <c r="Z18" s="340">
        <f>400.4/Z118</f>
        <v>94.433962264150935</v>
      </c>
      <c r="AA18" s="341">
        <f>397.9/AA118</f>
        <v>94.625445897740775</v>
      </c>
      <c r="AB18" s="244"/>
      <c r="AC18" s="263"/>
    </row>
    <row r="19" spans="1:29" ht="18" customHeight="1" x14ac:dyDescent="0.3">
      <c r="A19" s="244"/>
      <c r="B19" s="234">
        <v>6</v>
      </c>
      <c r="C19" s="230">
        <v>2008</v>
      </c>
      <c r="D19" s="276">
        <v>79</v>
      </c>
      <c r="E19" s="277">
        <v>78.5</v>
      </c>
      <c r="F19" s="278">
        <v>79</v>
      </c>
      <c r="G19" s="279">
        <v>77.099999999999994</v>
      </c>
      <c r="H19" s="276">
        <v>77.400000000000006</v>
      </c>
      <c r="I19" s="280">
        <v>80.099999999999994</v>
      </c>
      <c r="J19" s="281">
        <v>78.599999999999994</v>
      </c>
      <c r="K19" s="278">
        <v>79.5</v>
      </c>
      <c r="L19" s="276">
        <v>77.3</v>
      </c>
      <c r="M19" s="280">
        <v>78.900000000000006</v>
      </c>
      <c r="N19" s="282">
        <v>80.7</v>
      </c>
      <c r="O19" s="283">
        <v>78.599999999999994</v>
      </c>
      <c r="P19" s="276">
        <v>78.7</v>
      </c>
      <c r="Q19" s="283">
        <v>79.900000000000006</v>
      </c>
      <c r="R19" s="248"/>
      <c r="S19" s="333">
        <f>201.8/S118</f>
        <v>88.820422535211279</v>
      </c>
      <c r="T19" s="334"/>
      <c r="U19" s="342"/>
      <c r="V19" s="336">
        <f>519.9/V118</f>
        <v>125.30730296456977</v>
      </c>
      <c r="W19" s="337">
        <f>168.3/W118</f>
        <v>88.161341016238879</v>
      </c>
      <c r="X19" s="338"/>
      <c r="Y19" s="339"/>
      <c r="Z19" s="340">
        <f>428.5/Z118</f>
        <v>101.06132075471697</v>
      </c>
      <c r="AA19" s="341">
        <f>426.3/AA118</f>
        <v>101.37931034482759</v>
      </c>
      <c r="AB19" s="244"/>
      <c r="AC19" s="263"/>
    </row>
    <row r="20" spans="1:29" ht="18" customHeight="1" x14ac:dyDescent="0.3">
      <c r="A20" s="244"/>
      <c r="B20" s="234">
        <v>7</v>
      </c>
      <c r="C20" s="230">
        <v>2008</v>
      </c>
      <c r="D20" s="276">
        <v>80.099999999999994</v>
      </c>
      <c r="E20" s="277">
        <v>79.599999999999994</v>
      </c>
      <c r="F20" s="278">
        <v>80.099999999999994</v>
      </c>
      <c r="G20" s="279">
        <v>78.8</v>
      </c>
      <c r="H20" s="276">
        <v>78.400000000000006</v>
      </c>
      <c r="I20" s="280">
        <v>81.599999999999994</v>
      </c>
      <c r="J20" s="281">
        <v>79.5</v>
      </c>
      <c r="K20" s="278">
        <v>80.900000000000006</v>
      </c>
      <c r="L20" s="276">
        <v>78.2</v>
      </c>
      <c r="M20" s="280">
        <v>79.900000000000006</v>
      </c>
      <c r="N20" s="282">
        <v>81.599999999999994</v>
      </c>
      <c r="O20" s="283">
        <v>79.8</v>
      </c>
      <c r="P20" s="276">
        <v>79.8</v>
      </c>
      <c r="Q20" s="283">
        <v>80.900000000000006</v>
      </c>
      <c r="R20" s="248"/>
      <c r="S20" s="333">
        <f>203.9/S118</f>
        <v>89.744718309859167</v>
      </c>
      <c r="T20" s="338"/>
      <c r="U20" s="342"/>
      <c r="V20" s="336">
        <f>511.9/V118</f>
        <v>123.37912750060255</v>
      </c>
      <c r="W20" s="337">
        <f>168.3/W118</f>
        <v>88.161341016238879</v>
      </c>
      <c r="X20" s="338"/>
      <c r="Y20" s="339"/>
      <c r="Z20" s="340">
        <f>453.5/Z118</f>
        <v>106.95754716981132</v>
      </c>
      <c r="AA20" s="341">
        <f>451.5/AA118</f>
        <v>107.37217598097503</v>
      </c>
      <c r="AB20" s="244"/>
      <c r="AC20" s="263"/>
    </row>
    <row r="21" spans="1:29" ht="18" customHeight="1" x14ac:dyDescent="0.3">
      <c r="A21" s="244"/>
      <c r="B21" s="234">
        <v>8</v>
      </c>
      <c r="C21" s="230">
        <v>2008</v>
      </c>
      <c r="D21" s="276">
        <v>80.599999999999994</v>
      </c>
      <c r="E21" s="277">
        <v>80</v>
      </c>
      <c r="F21" s="278">
        <v>80.7</v>
      </c>
      <c r="G21" s="279">
        <v>79.599999999999994</v>
      </c>
      <c r="H21" s="276">
        <v>78.900000000000006</v>
      </c>
      <c r="I21" s="280">
        <v>82.1</v>
      </c>
      <c r="J21" s="281">
        <v>80</v>
      </c>
      <c r="K21" s="278">
        <v>81.3</v>
      </c>
      <c r="L21" s="276">
        <v>79.099999999999994</v>
      </c>
      <c r="M21" s="280">
        <v>80</v>
      </c>
      <c r="N21" s="282">
        <v>82.1</v>
      </c>
      <c r="O21" s="283">
        <v>80</v>
      </c>
      <c r="P21" s="276">
        <v>80</v>
      </c>
      <c r="Q21" s="283">
        <v>81.2</v>
      </c>
      <c r="R21" s="248"/>
      <c r="S21" s="333">
        <f>217.3/S118</f>
        <v>95.64260563380283</v>
      </c>
      <c r="T21" s="338"/>
      <c r="U21" s="342"/>
      <c r="V21" s="336">
        <f>419.9/V118</f>
        <v>101.2051096649795</v>
      </c>
      <c r="W21" s="337">
        <f>175.4/W118</f>
        <v>91.88056574122578</v>
      </c>
      <c r="X21" s="338"/>
      <c r="Y21" s="339"/>
      <c r="Z21" s="340">
        <f>447.1/Z118</f>
        <v>105.44811320754717</v>
      </c>
      <c r="AA21" s="341">
        <f>444.7/AA118</f>
        <v>105.75505350772889</v>
      </c>
      <c r="AB21" s="244"/>
      <c r="AC21" s="263"/>
    </row>
    <row r="22" spans="1:29" ht="18" customHeight="1" x14ac:dyDescent="0.3">
      <c r="A22" s="244"/>
      <c r="B22" s="234">
        <v>9</v>
      </c>
      <c r="C22" s="230">
        <v>2008</v>
      </c>
      <c r="D22" s="276">
        <v>81.2</v>
      </c>
      <c r="E22" s="277">
        <v>80.900000000000006</v>
      </c>
      <c r="F22" s="278">
        <v>81.2</v>
      </c>
      <c r="G22" s="279">
        <v>79.900000000000006</v>
      </c>
      <c r="H22" s="276">
        <v>79.599999999999994</v>
      </c>
      <c r="I22" s="280">
        <v>82.3</v>
      </c>
      <c r="J22" s="281">
        <v>80.599999999999994</v>
      </c>
      <c r="K22" s="278">
        <v>81.599999999999994</v>
      </c>
      <c r="L22" s="276">
        <v>79.599999999999994</v>
      </c>
      <c r="M22" s="280">
        <v>80.8</v>
      </c>
      <c r="N22" s="282">
        <v>82.4</v>
      </c>
      <c r="O22" s="283">
        <v>79.8</v>
      </c>
      <c r="P22" s="276">
        <v>80.900000000000006</v>
      </c>
      <c r="Q22" s="283">
        <v>81.3</v>
      </c>
      <c r="R22" s="248"/>
      <c r="S22" s="333">
        <f>218.8/S118</f>
        <v>96.302816901408463</v>
      </c>
      <c r="T22" s="338"/>
      <c r="U22" s="342"/>
      <c r="V22" s="336">
        <f>394.3/V118</f>
        <v>95.034948180284402</v>
      </c>
      <c r="W22" s="337">
        <f>175.4/W118</f>
        <v>91.88056574122578</v>
      </c>
      <c r="X22" s="338"/>
      <c r="Y22" s="339"/>
      <c r="Z22" s="340">
        <f>390/Z118</f>
        <v>91.981132075471692</v>
      </c>
      <c r="AA22" s="341">
        <f>387.1/AA118</f>
        <v>92.057074910820461</v>
      </c>
      <c r="AB22" s="244"/>
      <c r="AC22" s="263"/>
    </row>
    <row r="23" spans="1:29" ht="18" customHeight="1" x14ac:dyDescent="0.3">
      <c r="A23" s="244"/>
      <c r="B23" s="234">
        <v>10</v>
      </c>
      <c r="C23" s="230">
        <v>2008</v>
      </c>
      <c r="D23" s="276">
        <v>81.5</v>
      </c>
      <c r="E23" s="277">
        <v>81.099999999999994</v>
      </c>
      <c r="F23" s="278">
        <v>81.3</v>
      </c>
      <c r="G23" s="279">
        <v>80.3</v>
      </c>
      <c r="H23" s="276">
        <v>79.8</v>
      </c>
      <c r="I23" s="280">
        <v>82.6</v>
      </c>
      <c r="J23" s="281">
        <v>80.8</v>
      </c>
      <c r="K23" s="278">
        <v>82</v>
      </c>
      <c r="L23" s="276">
        <v>79.7</v>
      </c>
      <c r="M23" s="280">
        <v>81.099999999999994</v>
      </c>
      <c r="N23" s="282">
        <v>82.5</v>
      </c>
      <c r="O23" s="283">
        <v>80.099999999999994</v>
      </c>
      <c r="P23" s="276">
        <v>81.2</v>
      </c>
      <c r="Q23" s="283">
        <v>81.599999999999994</v>
      </c>
      <c r="R23" s="248"/>
      <c r="S23" s="333">
        <f>219.6/S118</f>
        <v>96.654929577464799</v>
      </c>
      <c r="T23" s="338"/>
      <c r="U23" s="342"/>
      <c r="V23" s="336">
        <f>377.4/V118</f>
        <v>90.961677512653651</v>
      </c>
      <c r="W23" s="337">
        <f>175.4/W118</f>
        <v>91.88056574122578</v>
      </c>
      <c r="X23" s="338"/>
      <c r="Y23" s="339"/>
      <c r="Z23" s="340">
        <f>367.8/Z118</f>
        <v>86.745283018867923</v>
      </c>
      <c r="AA23" s="341">
        <f>364.7/AA118</f>
        <v>86.730083234244944</v>
      </c>
      <c r="AB23" s="244"/>
      <c r="AC23" s="263"/>
    </row>
    <row r="24" spans="1:29" ht="18" customHeight="1" x14ac:dyDescent="0.3">
      <c r="A24" s="244"/>
      <c r="B24" s="234">
        <v>11</v>
      </c>
      <c r="C24" s="230">
        <v>2008</v>
      </c>
      <c r="D24" s="276">
        <v>81.5</v>
      </c>
      <c r="E24" s="277">
        <v>81.099999999999994</v>
      </c>
      <c r="F24" s="278">
        <v>81.400000000000006</v>
      </c>
      <c r="G24" s="279">
        <v>80.400000000000006</v>
      </c>
      <c r="H24" s="276">
        <v>79.8</v>
      </c>
      <c r="I24" s="280">
        <v>82.6</v>
      </c>
      <c r="J24" s="281">
        <v>80.900000000000006</v>
      </c>
      <c r="K24" s="278">
        <v>82</v>
      </c>
      <c r="L24" s="276">
        <v>79.7</v>
      </c>
      <c r="M24" s="280">
        <v>81.2</v>
      </c>
      <c r="N24" s="282">
        <v>82.6</v>
      </c>
      <c r="O24" s="283">
        <v>80</v>
      </c>
      <c r="P24" s="276">
        <v>81.3</v>
      </c>
      <c r="Q24" s="283">
        <v>81.7</v>
      </c>
      <c r="R24" s="248"/>
      <c r="S24" s="333">
        <f>219.2/S118</f>
        <v>96.478873239436624</v>
      </c>
      <c r="T24" s="338"/>
      <c r="U24" s="342"/>
      <c r="V24" s="336">
        <f>336.8/V118</f>
        <v>81.176187033020014</v>
      </c>
      <c r="W24" s="337">
        <f>184.8/W118</f>
        <v>96.804609743321109</v>
      </c>
      <c r="X24" s="338"/>
      <c r="Y24" s="339"/>
      <c r="Z24" s="340">
        <f>358.2/Z118</f>
        <v>84.481132075471692</v>
      </c>
      <c r="AA24" s="341">
        <f>355.1/AA118</f>
        <v>84.447086801426877</v>
      </c>
      <c r="AB24" s="244"/>
      <c r="AC24" s="263"/>
    </row>
    <row r="25" spans="1:29" ht="18" customHeight="1" x14ac:dyDescent="0.3">
      <c r="A25" s="244"/>
      <c r="B25" s="235">
        <v>12</v>
      </c>
      <c r="C25" s="233">
        <v>2008</v>
      </c>
      <c r="D25" s="284">
        <v>81.400000000000006</v>
      </c>
      <c r="E25" s="285">
        <v>80.7</v>
      </c>
      <c r="F25" s="286">
        <v>81.3</v>
      </c>
      <c r="G25" s="287">
        <v>80.2</v>
      </c>
      <c r="H25" s="284">
        <v>79.8</v>
      </c>
      <c r="I25" s="288">
        <v>82.7</v>
      </c>
      <c r="J25" s="289">
        <v>80.8</v>
      </c>
      <c r="K25" s="286">
        <v>82</v>
      </c>
      <c r="L25" s="284">
        <v>79.599999999999994</v>
      </c>
      <c r="M25" s="288">
        <v>80.8</v>
      </c>
      <c r="N25" s="290">
        <v>82.5</v>
      </c>
      <c r="O25" s="291">
        <v>79.7</v>
      </c>
      <c r="P25" s="284">
        <v>81.099999999999994</v>
      </c>
      <c r="Q25" s="291">
        <v>81.3</v>
      </c>
      <c r="R25" s="248"/>
      <c r="S25" s="343">
        <f>216.6/S118</f>
        <v>95.33450704225352</v>
      </c>
      <c r="T25" s="344"/>
      <c r="U25" s="345"/>
      <c r="V25" s="346">
        <f>274.3/V118</f>
        <v>66.112316220776094</v>
      </c>
      <c r="W25" s="347">
        <f>184.8/W118</f>
        <v>96.804609743321109</v>
      </c>
      <c r="X25" s="344"/>
      <c r="Y25" s="348"/>
      <c r="Z25" s="349">
        <f>326.1/Z118</f>
        <v>76.910377358490564</v>
      </c>
      <c r="AA25" s="350">
        <f>322.7/AA118</f>
        <v>76.741973840665864</v>
      </c>
      <c r="AB25" s="244"/>
      <c r="AC25" s="263"/>
    </row>
    <row r="26" spans="1:29" ht="18" customHeight="1" x14ac:dyDescent="0.3">
      <c r="A26" s="244"/>
      <c r="B26" s="231">
        <v>1</v>
      </c>
      <c r="C26" s="228">
        <v>2009</v>
      </c>
      <c r="D26" s="292">
        <v>81.5</v>
      </c>
      <c r="E26" s="293">
        <v>80.8</v>
      </c>
      <c r="F26" s="294">
        <v>80.900000000000006</v>
      </c>
      <c r="G26" s="295">
        <v>80.3</v>
      </c>
      <c r="H26" s="292">
        <v>80.099999999999994</v>
      </c>
      <c r="I26" s="296">
        <v>83.4</v>
      </c>
      <c r="J26" s="297">
        <v>81.2</v>
      </c>
      <c r="K26" s="294">
        <v>82.7</v>
      </c>
      <c r="L26" s="292">
        <v>79.599999999999994</v>
      </c>
      <c r="M26" s="296">
        <v>81.2</v>
      </c>
      <c r="N26" s="298">
        <v>82.6</v>
      </c>
      <c r="O26" s="299">
        <v>79.7</v>
      </c>
      <c r="P26" s="292">
        <v>81.7</v>
      </c>
      <c r="Q26" s="299">
        <v>81.3</v>
      </c>
      <c r="R26" s="248"/>
      <c r="S26" s="351">
        <f>219.7/S118</f>
        <v>96.698943661971839</v>
      </c>
      <c r="T26" s="352"/>
      <c r="U26" s="353"/>
      <c r="V26" s="354">
        <f>286.5/V118</f>
        <v>69.052783803326108</v>
      </c>
      <c r="W26" s="355">
        <f>184.8/W118</f>
        <v>96.804609743321109</v>
      </c>
      <c r="X26" s="352"/>
      <c r="Y26" s="356"/>
      <c r="Z26" s="357">
        <f>259.4/Z118</f>
        <v>61.179245283018858</v>
      </c>
      <c r="AA26" s="294">
        <f>255.5/AA118</f>
        <v>60.760998810939356</v>
      </c>
      <c r="AB26" s="244"/>
      <c r="AC26" s="263"/>
    </row>
    <row r="27" spans="1:29" ht="18" customHeight="1" x14ac:dyDescent="0.3">
      <c r="A27" s="244"/>
      <c r="B27" s="234">
        <v>2</v>
      </c>
      <c r="C27" s="230">
        <v>2009</v>
      </c>
      <c r="D27" s="276">
        <v>82.2</v>
      </c>
      <c r="E27" s="277">
        <v>81.8</v>
      </c>
      <c r="F27" s="278">
        <v>82</v>
      </c>
      <c r="G27" s="279">
        <v>81</v>
      </c>
      <c r="H27" s="276">
        <v>80.900000000000006</v>
      </c>
      <c r="I27" s="280">
        <v>84.1</v>
      </c>
      <c r="J27" s="281">
        <v>82</v>
      </c>
      <c r="K27" s="278">
        <v>83.4</v>
      </c>
      <c r="L27" s="276">
        <v>80.900000000000006</v>
      </c>
      <c r="M27" s="280">
        <v>82.3</v>
      </c>
      <c r="N27" s="282">
        <v>83.7</v>
      </c>
      <c r="O27" s="283">
        <v>80.8</v>
      </c>
      <c r="P27" s="276">
        <v>82.9</v>
      </c>
      <c r="Q27" s="283">
        <v>82.8</v>
      </c>
      <c r="R27" s="248"/>
      <c r="S27" s="358">
        <f>215.7/S118</f>
        <v>94.938380281690144</v>
      </c>
      <c r="T27" s="359"/>
      <c r="U27" s="360"/>
      <c r="V27" s="336">
        <f>271.3/V118</f>
        <v>65.38925042178839</v>
      </c>
      <c r="W27" s="361">
        <f>193/W118</f>
        <v>101.10005238344682</v>
      </c>
      <c r="X27" s="359"/>
      <c r="Y27" s="362"/>
      <c r="Z27" s="363">
        <f>257.4/Z118</f>
        <v>60.707547169811313</v>
      </c>
      <c r="AA27" s="278">
        <f>253.9/AA118</f>
        <v>60.380499405469678</v>
      </c>
      <c r="AB27" s="244"/>
      <c r="AC27" s="263"/>
    </row>
    <row r="28" spans="1:29" ht="18" customHeight="1" x14ac:dyDescent="0.3">
      <c r="A28" s="244"/>
      <c r="B28" s="234">
        <v>3</v>
      </c>
      <c r="C28" s="230">
        <v>2009</v>
      </c>
      <c r="D28" s="276">
        <v>83.5</v>
      </c>
      <c r="E28" s="277">
        <v>82.9</v>
      </c>
      <c r="F28" s="278">
        <v>83.1</v>
      </c>
      <c r="G28" s="279">
        <v>82.2</v>
      </c>
      <c r="H28" s="276">
        <v>82</v>
      </c>
      <c r="I28" s="280">
        <v>85</v>
      </c>
      <c r="J28" s="281">
        <v>83.2</v>
      </c>
      <c r="K28" s="278">
        <v>84.3</v>
      </c>
      <c r="L28" s="276">
        <v>82.3</v>
      </c>
      <c r="M28" s="280">
        <v>83.4</v>
      </c>
      <c r="N28" s="282">
        <v>84.8</v>
      </c>
      <c r="O28" s="283">
        <v>82.1</v>
      </c>
      <c r="P28" s="276">
        <v>83.9</v>
      </c>
      <c r="Q28" s="283">
        <v>84</v>
      </c>
      <c r="R28" s="248"/>
      <c r="S28" s="358">
        <f>214.8/S118</f>
        <v>94.542253521126767</v>
      </c>
      <c r="T28" s="359"/>
      <c r="U28" s="360"/>
      <c r="V28" s="336">
        <f>253.5/V118</f>
        <v>61.099060014461315</v>
      </c>
      <c r="W28" s="361">
        <f>193/W118</f>
        <v>101.10005238344682</v>
      </c>
      <c r="X28" s="359"/>
      <c r="Y28" s="362"/>
      <c r="Z28" s="363">
        <f>242.4/Z118</f>
        <v>57.169811320754718</v>
      </c>
      <c r="AA28" s="278">
        <f>238.3/AA118</f>
        <v>56.670630202140309</v>
      </c>
      <c r="AB28" s="244"/>
      <c r="AC28" s="263"/>
    </row>
    <row r="29" spans="1:29" ht="18" customHeight="1" x14ac:dyDescent="0.3">
      <c r="A29" s="244"/>
      <c r="B29" s="234">
        <v>4</v>
      </c>
      <c r="C29" s="230">
        <v>2009</v>
      </c>
      <c r="D29" s="276">
        <v>83.8</v>
      </c>
      <c r="E29" s="277">
        <v>83.3</v>
      </c>
      <c r="F29" s="278">
        <v>83.5</v>
      </c>
      <c r="G29" s="279">
        <v>82.5</v>
      </c>
      <c r="H29" s="276">
        <v>82.5</v>
      </c>
      <c r="I29" s="280">
        <v>85.4</v>
      </c>
      <c r="J29" s="281">
        <v>83.6</v>
      </c>
      <c r="K29" s="278">
        <v>84.7</v>
      </c>
      <c r="L29" s="276">
        <v>82.5</v>
      </c>
      <c r="M29" s="280">
        <v>83.9</v>
      </c>
      <c r="N29" s="282">
        <v>85.3</v>
      </c>
      <c r="O29" s="283">
        <v>82.5</v>
      </c>
      <c r="P29" s="276">
        <v>84.3</v>
      </c>
      <c r="Q29" s="283">
        <v>84.1</v>
      </c>
      <c r="R29" s="248"/>
      <c r="S29" s="358">
        <f>213.3/S118</f>
        <v>93.882042253521135</v>
      </c>
      <c r="T29" s="359"/>
      <c r="U29" s="360"/>
      <c r="V29" s="336">
        <f>250.2/V118</f>
        <v>60.303687635574832</v>
      </c>
      <c r="W29" s="361">
        <f>193/W118</f>
        <v>101.10005238344682</v>
      </c>
      <c r="X29" s="359"/>
      <c r="Y29" s="362"/>
      <c r="Z29" s="363">
        <f>258.2/Z118</f>
        <v>60.896226415094333</v>
      </c>
      <c r="AA29" s="278">
        <f>254.3/AA118</f>
        <v>60.475624256837101</v>
      </c>
      <c r="AB29" s="244"/>
      <c r="AC29" s="263"/>
    </row>
    <row r="30" spans="1:29" ht="18" customHeight="1" x14ac:dyDescent="0.3">
      <c r="A30" s="244"/>
      <c r="B30" s="234">
        <v>5</v>
      </c>
      <c r="C30" s="230">
        <v>2009</v>
      </c>
      <c r="D30" s="276">
        <v>84.1</v>
      </c>
      <c r="E30" s="277">
        <v>83.5</v>
      </c>
      <c r="F30" s="278">
        <v>83.9</v>
      </c>
      <c r="G30" s="279">
        <v>82.8</v>
      </c>
      <c r="H30" s="276">
        <v>82.8</v>
      </c>
      <c r="I30" s="280">
        <v>85.7</v>
      </c>
      <c r="J30" s="281">
        <v>84</v>
      </c>
      <c r="K30" s="278">
        <v>85.1</v>
      </c>
      <c r="L30" s="276">
        <v>82.8</v>
      </c>
      <c r="M30" s="280">
        <v>84.2</v>
      </c>
      <c r="N30" s="282">
        <v>85.6</v>
      </c>
      <c r="O30" s="283">
        <v>82.6</v>
      </c>
      <c r="P30" s="276">
        <v>84.9</v>
      </c>
      <c r="Q30" s="283">
        <v>84.4</v>
      </c>
      <c r="R30" s="248"/>
      <c r="S30" s="358">
        <f>209/S118</f>
        <v>91.989436619718319</v>
      </c>
      <c r="T30" s="359"/>
      <c r="U30" s="360"/>
      <c r="V30" s="336">
        <f>251.1/V118</f>
        <v>60.520607375271148</v>
      </c>
      <c r="W30" s="361">
        <f>189.2/W118</f>
        <v>99.109481403876373</v>
      </c>
      <c r="X30" s="359"/>
      <c r="Y30" s="362"/>
      <c r="Z30" s="363">
        <f>261.4/Z118</f>
        <v>61.65094339622641</v>
      </c>
      <c r="AA30" s="278">
        <f>257.5/AA118</f>
        <v>61.236623067776456</v>
      </c>
      <c r="AB30" s="244"/>
      <c r="AC30" s="263"/>
    </row>
    <row r="31" spans="1:29" ht="18" customHeight="1" x14ac:dyDescent="0.3">
      <c r="A31" s="244"/>
      <c r="B31" s="234">
        <v>6</v>
      </c>
      <c r="C31" s="230">
        <v>2009</v>
      </c>
      <c r="D31" s="276">
        <v>84.5</v>
      </c>
      <c r="E31" s="277">
        <v>83.6</v>
      </c>
      <c r="F31" s="278">
        <v>84.2</v>
      </c>
      <c r="G31" s="279">
        <v>83.1</v>
      </c>
      <c r="H31" s="276">
        <v>83</v>
      </c>
      <c r="I31" s="280">
        <v>85.7</v>
      </c>
      <c r="J31" s="281">
        <v>84.2</v>
      </c>
      <c r="K31" s="278">
        <v>85.2</v>
      </c>
      <c r="L31" s="276">
        <v>83.1</v>
      </c>
      <c r="M31" s="280">
        <v>84.3</v>
      </c>
      <c r="N31" s="282">
        <v>86.2</v>
      </c>
      <c r="O31" s="283">
        <v>82.9</v>
      </c>
      <c r="P31" s="276">
        <v>85.4</v>
      </c>
      <c r="Q31" s="283">
        <v>84.9</v>
      </c>
      <c r="R31" s="248"/>
      <c r="S31" s="358">
        <f>208.9/S118</f>
        <v>91.945422535211279</v>
      </c>
      <c r="T31" s="359"/>
      <c r="U31" s="360"/>
      <c r="V31" s="336">
        <f>256.8/V118</f>
        <v>61.894432393347799</v>
      </c>
      <c r="W31" s="361">
        <f>189.2/W118</f>
        <v>99.109481403876373</v>
      </c>
      <c r="X31" s="359"/>
      <c r="Y31" s="362"/>
      <c r="Z31" s="363">
        <f>256.3/Z118</f>
        <v>60.448113207547166</v>
      </c>
      <c r="AA31" s="278">
        <f>253.1/AA118</f>
        <v>60.190249702734839</v>
      </c>
      <c r="AB31" s="244"/>
      <c r="AC31" s="263"/>
    </row>
    <row r="32" spans="1:29" ht="18" customHeight="1" x14ac:dyDescent="0.3">
      <c r="A32" s="244"/>
      <c r="B32" s="234">
        <v>7</v>
      </c>
      <c r="C32" s="230">
        <v>2009</v>
      </c>
      <c r="D32" s="276">
        <v>85.4</v>
      </c>
      <c r="E32" s="277">
        <v>85.1</v>
      </c>
      <c r="F32" s="278">
        <v>85.2</v>
      </c>
      <c r="G32" s="279">
        <v>84.3</v>
      </c>
      <c r="H32" s="276">
        <v>83.9</v>
      </c>
      <c r="I32" s="280">
        <v>86.5</v>
      </c>
      <c r="J32" s="281">
        <v>84.8</v>
      </c>
      <c r="K32" s="278">
        <v>86</v>
      </c>
      <c r="L32" s="276">
        <v>84.2</v>
      </c>
      <c r="M32" s="280">
        <v>85.7</v>
      </c>
      <c r="N32" s="282">
        <v>86.7</v>
      </c>
      <c r="O32" s="283">
        <v>84.4</v>
      </c>
      <c r="P32" s="276">
        <v>86.3</v>
      </c>
      <c r="Q32" s="283">
        <v>85.7</v>
      </c>
      <c r="R32" s="248"/>
      <c r="S32" s="358">
        <f>211.3/S118</f>
        <v>93.001760563380302</v>
      </c>
      <c r="T32" s="359"/>
      <c r="U32" s="360"/>
      <c r="V32" s="336">
        <f>266.2/V118</f>
        <v>64.160038563509275</v>
      </c>
      <c r="W32" s="361">
        <f>189.2/W118</f>
        <v>99.109481403876373</v>
      </c>
      <c r="X32" s="359"/>
      <c r="Y32" s="362"/>
      <c r="Z32" s="363">
        <f>272.1/Z118</f>
        <v>64.174528301886795</v>
      </c>
      <c r="AA32" s="278">
        <f>269.1/AA118</f>
        <v>63.995243757431631</v>
      </c>
      <c r="AB32" s="244"/>
      <c r="AC32" s="263"/>
    </row>
    <row r="33" spans="1:29" ht="18" customHeight="1" x14ac:dyDescent="0.3">
      <c r="A33" s="244"/>
      <c r="B33" s="234">
        <v>8</v>
      </c>
      <c r="C33" s="230">
        <v>2009</v>
      </c>
      <c r="D33" s="276">
        <v>85.7</v>
      </c>
      <c r="E33" s="277">
        <v>85.4</v>
      </c>
      <c r="F33" s="278">
        <v>85.3</v>
      </c>
      <c r="G33" s="279">
        <v>84.7</v>
      </c>
      <c r="H33" s="276">
        <v>84.1</v>
      </c>
      <c r="I33" s="280">
        <v>86.6</v>
      </c>
      <c r="J33" s="281">
        <v>84.9</v>
      </c>
      <c r="K33" s="278">
        <v>86.2</v>
      </c>
      <c r="L33" s="276">
        <v>84.5</v>
      </c>
      <c r="M33" s="280">
        <v>85.9</v>
      </c>
      <c r="N33" s="282">
        <v>87.2</v>
      </c>
      <c r="O33" s="283">
        <v>84.6</v>
      </c>
      <c r="P33" s="276">
        <v>86.8</v>
      </c>
      <c r="Q33" s="283">
        <v>85.8</v>
      </c>
      <c r="R33" s="248"/>
      <c r="S33" s="358">
        <f>210.1/S118</f>
        <v>92.473591549295776</v>
      </c>
      <c r="T33" s="359"/>
      <c r="U33" s="360"/>
      <c r="V33" s="336">
        <f>262.1/V118</f>
        <v>63.171848638226081</v>
      </c>
      <c r="W33" s="361">
        <f>190.9/W118</f>
        <v>100</v>
      </c>
      <c r="X33" s="359"/>
      <c r="Y33" s="362"/>
      <c r="Z33" s="363">
        <f>264.2/Z118</f>
        <v>62.311320754716974</v>
      </c>
      <c r="AA33" s="278">
        <f>261.1/AA118</f>
        <v>62.092746730083242</v>
      </c>
      <c r="AB33" s="244"/>
      <c r="AC33" s="263"/>
    </row>
    <row r="34" spans="1:29" ht="18" customHeight="1" x14ac:dyDescent="0.3">
      <c r="A34" s="244"/>
      <c r="B34" s="234">
        <v>9</v>
      </c>
      <c r="C34" s="230">
        <v>2009</v>
      </c>
      <c r="D34" s="276">
        <v>86.1</v>
      </c>
      <c r="E34" s="277">
        <v>85.5</v>
      </c>
      <c r="F34" s="278">
        <v>85.9</v>
      </c>
      <c r="G34" s="279">
        <v>85</v>
      </c>
      <c r="H34" s="276">
        <v>84.4</v>
      </c>
      <c r="I34" s="280">
        <v>86.9</v>
      </c>
      <c r="J34" s="281">
        <v>85.2</v>
      </c>
      <c r="K34" s="278">
        <v>86.4</v>
      </c>
      <c r="L34" s="276">
        <v>84.8</v>
      </c>
      <c r="M34" s="280">
        <v>86.3</v>
      </c>
      <c r="N34" s="282">
        <v>87.5</v>
      </c>
      <c r="O34" s="283">
        <v>84.8</v>
      </c>
      <c r="P34" s="276">
        <v>86.9</v>
      </c>
      <c r="Q34" s="283">
        <v>86.1</v>
      </c>
      <c r="R34" s="248"/>
      <c r="S34" s="358">
        <f>209.8/S118</f>
        <v>92.341549295774655</v>
      </c>
      <c r="T34" s="359"/>
      <c r="U34" s="360"/>
      <c r="V34" s="336">
        <f>272.6/V118</f>
        <v>65.702578934683061</v>
      </c>
      <c r="W34" s="361">
        <f>190.9/W118</f>
        <v>100</v>
      </c>
      <c r="X34" s="359"/>
      <c r="Y34" s="362"/>
      <c r="Z34" s="363">
        <f>277.7/Z118</f>
        <v>65.495283018867923</v>
      </c>
      <c r="AA34" s="278">
        <f>274.7/AA118</f>
        <v>65.326991676575503</v>
      </c>
      <c r="AB34" s="244"/>
      <c r="AC34" s="263"/>
    </row>
    <row r="35" spans="1:29" ht="18" customHeight="1" x14ac:dyDescent="0.3">
      <c r="A35" s="244"/>
      <c r="B35" s="234">
        <v>10</v>
      </c>
      <c r="C35" s="230">
        <v>2009</v>
      </c>
      <c r="D35" s="276">
        <v>86.2</v>
      </c>
      <c r="E35" s="277">
        <v>85.5</v>
      </c>
      <c r="F35" s="278">
        <v>85.8</v>
      </c>
      <c r="G35" s="279">
        <v>85</v>
      </c>
      <c r="H35" s="276">
        <v>84.3</v>
      </c>
      <c r="I35" s="280">
        <v>86.8</v>
      </c>
      <c r="J35" s="281">
        <v>85.2</v>
      </c>
      <c r="K35" s="278">
        <v>86.3</v>
      </c>
      <c r="L35" s="276">
        <v>84.7</v>
      </c>
      <c r="M35" s="280">
        <v>86.2</v>
      </c>
      <c r="N35" s="282">
        <v>87.5</v>
      </c>
      <c r="O35" s="283">
        <v>84.7</v>
      </c>
      <c r="P35" s="276">
        <v>86.9</v>
      </c>
      <c r="Q35" s="283">
        <v>86.2</v>
      </c>
      <c r="R35" s="248"/>
      <c r="S35" s="358">
        <f>209.5/S118</f>
        <v>92.209507042253534</v>
      </c>
      <c r="T35" s="359"/>
      <c r="U35" s="360"/>
      <c r="V35" s="336">
        <f>257.7/V118</f>
        <v>62.111352133044107</v>
      </c>
      <c r="W35" s="361">
        <f>190.9/W118</f>
        <v>100</v>
      </c>
      <c r="X35" s="359"/>
      <c r="Y35" s="362"/>
      <c r="Z35" s="363">
        <f>265/Z118</f>
        <v>62.5</v>
      </c>
      <c r="AA35" s="278">
        <f>261.9/AA118</f>
        <v>62.282996432818067</v>
      </c>
      <c r="AB35" s="244"/>
      <c r="AC35" s="263"/>
    </row>
    <row r="36" spans="1:29" ht="18" customHeight="1" x14ac:dyDescent="0.3">
      <c r="A36" s="244"/>
      <c r="B36" s="234">
        <v>11</v>
      </c>
      <c r="C36" s="230">
        <v>2009</v>
      </c>
      <c r="D36" s="276">
        <v>86.3</v>
      </c>
      <c r="E36" s="277">
        <v>85.5</v>
      </c>
      <c r="F36" s="278">
        <v>85.7</v>
      </c>
      <c r="G36" s="279">
        <v>85</v>
      </c>
      <c r="H36" s="276">
        <v>84.3</v>
      </c>
      <c r="I36" s="280">
        <v>86.8</v>
      </c>
      <c r="J36" s="281">
        <v>85.1</v>
      </c>
      <c r="K36" s="278">
        <v>86.3</v>
      </c>
      <c r="L36" s="276">
        <v>84.8</v>
      </c>
      <c r="M36" s="280">
        <v>86.3</v>
      </c>
      <c r="N36" s="282">
        <v>87.5</v>
      </c>
      <c r="O36" s="283">
        <v>84.7</v>
      </c>
      <c r="P36" s="276">
        <v>86.9</v>
      </c>
      <c r="Q36" s="283">
        <v>86.1</v>
      </c>
      <c r="R36" s="248"/>
      <c r="S36" s="358">
        <f>209.8/S118</f>
        <v>92.341549295774655</v>
      </c>
      <c r="T36" s="359"/>
      <c r="U36" s="360"/>
      <c r="V36" s="336">
        <f>262.2/V118</f>
        <v>63.195950831525664</v>
      </c>
      <c r="W36" s="361">
        <f>188.1/W118</f>
        <v>98.53326348873756</v>
      </c>
      <c r="X36" s="359"/>
      <c r="Y36" s="362"/>
      <c r="Z36" s="363">
        <f>268.9/Z118</f>
        <v>63.419811320754711</v>
      </c>
      <c r="AA36" s="278">
        <f>265.9/AA118</f>
        <v>63.234244946492268</v>
      </c>
      <c r="AB36" s="244"/>
      <c r="AC36" s="263"/>
    </row>
    <row r="37" spans="1:29" ht="18" customHeight="1" x14ac:dyDescent="0.3">
      <c r="A37" s="244"/>
      <c r="B37" s="235">
        <v>12</v>
      </c>
      <c r="C37" s="233">
        <v>2009</v>
      </c>
      <c r="D37" s="284">
        <v>86.9</v>
      </c>
      <c r="E37" s="285">
        <v>85.7</v>
      </c>
      <c r="F37" s="286">
        <v>86</v>
      </c>
      <c r="G37" s="287">
        <v>85</v>
      </c>
      <c r="H37" s="284">
        <v>84.5</v>
      </c>
      <c r="I37" s="288">
        <v>87</v>
      </c>
      <c r="J37" s="289">
        <v>85.2</v>
      </c>
      <c r="K37" s="286">
        <v>86.6</v>
      </c>
      <c r="L37" s="284">
        <v>85</v>
      </c>
      <c r="M37" s="288">
        <v>86.6</v>
      </c>
      <c r="N37" s="290">
        <v>87.2</v>
      </c>
      <c r="O37" s="291">
        <v>85.1</v>
      </c>
      <c r="P37" s="284">
        <v>87.2</v>
      </c>
      <c r="Q37" s="291">
        <v>86.3</v>
      </c>
      <c r="R37" s="248"/>
      <c r="S37" s="364">
        <f>209.8/S118</f>
        <v>92.341549295774655</v>
      </c>
      <c r="T37" s="365"/>
      <c r="U37" s="366"/>
      <c r="V37" s="346">
        <f>275.4/V118</f>
        <v>66.377440347071584</v>
      </c>
      <c r="W37" s="367">
        <f>188.1/W118</f>
        <v>98.53326348873756</v>
      </c>
      <c r="X37" s="365"/>
      <c r="Y37" s="368"/>
      <c r="Z37" s="369">
        <f>278.9/Z118</f>
        <v>65.778301886792448</v>
      </c>
      <c r="AA37" s="286">
        <f>275.9/AA118</f>
        <v>65.612366230677765</v>
      </c>
      <c r="AB37" s="244"/>
      <c r="AC37" s="263"/>
    </row>
    <row r="38" spans="1:29" ht="18" customHeight="1" x14ac:dyDescent="0.3">
      <c r="A38" s="244"/>
      <c r="B38" s="231">
        <v>1</v>
      </c>
      <c r="C38" s="228">
        <v>2010</v>
      </c>
      <c r="D38" s="292">
        <v>87.1</v>
      </c>
      <c r="E38" s="293">
        <v>85.8</v>
      </c>
      <c r="F38" s="294">
        <v>86.1</v>
      </c>
      <c r="G38" s="295">
        <v>85.2</v>
      </c>
      <c r="H38" s="292">
        <v>84.7</v>
      </c>
      <c r="I38" s="296">
        <v>87.4</v>
      </c>
      <c r="J38" s="297">
        <v>85.5</v>
      </c>
      <c r="K38" s="294">
        <v>86.9</v>
      </c>
      <c r="L38" s="292">
        <v>85.2</v>
      </c>
      <c r="M38" s="296">
        <v>86.9</v>
      </c>
      <c r="N38" s="298">
        <v>87.5</v>
      </c>
      <c r="O38" s="299">
        <v>85.4</v>
      </c>
      <c r="P38" s="292">
        <v>87.5</v>
      </c>
      <c r="Q38" s="299">
        <v>86.4</v>
      </c>
      <c r="R38" s="248"/>
      <c r="S38" s="351">
        <f>212.5/S118</f>
        <v>93.529929577464799</v>
      </c>
      <c r="T38" s="352"/>
      <c r="U38" s="353"/>
      <c r="V38" s="354">
        <f>269.1/V118</f>
        <v>64.859002169197396</v>
      </c>
      <c r="W38" s="355">
        <f>188.1/W118</f>
        <v>98.53326348873756</v>
      </c>
      <c r="X38" s="352"/>
      <c r="Y38" s="356"/>
      <c r="Z38" s="357">
        <f>273.3/Z118</f>
        <v>64.45754716981132</v>
      </c>
      <c r="AA38" s="294">
        <f>270.3/AA118</f>
        <v>64.280618311533885</v>
      </c>
      <c r="AB38" s="244"/>
      <c r="AC38" s="263"/>
    </row>
    <row r="39" spans="1:29" ht="18" customHeight="1" x14ac:dyDescent="0.3">
      <c r="A39" s="244"/>
      <c r="B39" s="234">
        <v>2</v>
      </c>
      <c r="C39" s="230">
        <v>2010</v>
      </c>
      <c r="D39" s="276">
        <v>87.4</v>
      </c>
      <c r="E39" s="277">
        <v>86.5</v>
      </c>
      <c r="F39" s="278">
        <v>86.7</v>
      </c>
      <c r="G39" s="279">
        <v>85.4</v>
      </c>
      <c r="H39" s="276">
        <v>85.3</v>
      </c>
      <c r="I39" s="280">
        <v>87.7</v>
      </c>
      <c r="J39" s="281">
        <v>85.9</v>
      </c>
      <c r="K39" s="278">
        <v>87.3</v>
      </c>
      <c r="L39" s="276">
        <v>86.2</v>
      </c>
      <c r="M39" s="280">
        <v>87.5</v>
      </c>
      <c r="N39" s="282">
        <v>88</v>
      </c>
      <c r="O39" s="283">
        <v>85.9</v>
      </c>
      <c r="P39" s="276">
        <v>88.1</v>
      </c>
      <c r="Q39" s="283">
        <v>87.1</v>
      </c>
      <c r="R39" s="248"/>
      <c r="S39" s="358">
        <f>213/S118</f>
        <v>93.750000000000014</v>
      </c>
      <c r="T39" s="359"/>
      <c r="U39" s="360"/>
      <c r="V39" s="336">
        <f>276.4/V118</f>
        <v>66.618462280067476</v>
      </c>
      <c r="W39" s="361">
        <f>188/W118</f>
        <v>98.480880041906758</v>
      </c>
      <c r="X39" s="359"/>
      <c r="Y39" s="362"/>
      <c r="Z39" s="363">
        <f>277.3/Z118</f>
        <v>65.40094339622641</v>
      </c>
      <c r="AA39" s="278">
        <f>274.3/AA118</f>
        <v>65.231866825208087</v>
      </c>
      <c r="AB39" s="244"/>
      <c r="AC39" s="263"/>
    </row>
    <row r="40" spans="1:29" ht="18" customHeight="1" x14ac:dyDescent="0.3">
      <c r="A40" s="244"/>
      <c r="B40" s="234">
        <v>3</v>
      </c>
      <c r="C40" s="230">
        <v>2010</v>
      </c>
      <c r="D40" s="276">
        <v>88.4</v>
      </c>
      <c r="E40" s="277">
        <v>87.3</v>
      </c>
      <c r="F40" s="278">
        <v>87.5</v>
      </c>
      <c r="G40" s="279">
        <v>85.9</v>
      </c>
      <c r="H40" s="276">
        <v>86</v>
      </c>
      <c r="I40" s="280">
        <v>88.4</v>
      </c>
      <c r="J40" s="281">
        <v>86.7</v>
      </c>
      <c r="K40" s="278">
        <v>87.9</v>
      </c>
      <c r="L40" s="276">
        <v>87</v>
      </c>
      <c r="M40" s="280">
        <v>88.2</v>
      </c>
      <c r="N40" s="282">
        <v>88.8</v>
      </c>
      <c r="O40" s="283">
        <v>86.8</v>
      </c>
      <c r="P40" s="276">
        <v>88.7</v>
      </c>
      <c r="Q40" s="283">
        <v>87.6</v>
      </c>
      <c r="R40" s="248"/>
      <c r="S40" s="358">
        <f>213/S118</f>
        <v>93.750000000000014</v>
      </c>
      <c r="T40" s="359"/>
      <c r="U40" s="360"/>
      <c r="V40" s="336">
        <f>280.4/V118</f>
        <v>67.582550012051087</v>
      </c>
      <c r="W40" s="361">
        <f>188.9/W118</f>
        <v>98.952331063383966</v>
      </c>
      <c r="X40" s="359"/>
      <c r="Y40" s="362"/>
      <c r="Z40" s="363">
        <f>278.9/Z118</f>
        <v>65.778301886792448</v>
      </c>
      <c r="AA40" s="278">
        <f>275.9/AA118</f>
        <v>65.612366230677765</v>
      </c>
      <c r="AB40" s="244"/>
      <c r="AC40" s="263"/>
    </row>
    <row r="41" spans="1:29" ht="18" customHeight="1" x14ac:dyDescent="0.3">
      <c r="A41" s="244"/>
      <c r="B41" s="234">
        <v>4</v>
      </c>
      <c r="C41" s="230">
        <v>2010</v>
      </c>
      <c r="D41" s="276">
        <v>88.7</v>
      </c>
      <c r="E41" s="277">
        <v>87.4</v>
      </c>
      <c r="F41" s="278">
        <v>87.8</v>
      </c>
      <c r="G41" s="279">
        <v>86.3</v>
      </c>
      <c r="H41" s="276">
        <v>86.4</v>
      </c>
      <c r="I41" s="280">
        <v>88.5</v>
      </c>
      <c r="J41" s="281">
        <v>86.6</v>
      </c>
      <c r="K41" s="278">
        <v>88</v>
      </c>
      <c r="L41" s="276">
        <v>87.2</v>
      </c>
      <c r="M41" s="280">
        <v>88.4</v>
      </c>
      <c r="N41" s="282">
        <v>89</v>
      </c>
      <c r="O41" s="283">
        <v>86.9</v>
      </c>
      <c r="P41" s="276">
        <v>88.8</v>
      </c>
      <c r="Q41" s="283">
        <v>87.6</v>
      </c>
      <c r="R41" s="248"/>
      <c r="S41" s="358">
        <f>212.8/S118</f>
        <v>93.661971830985934</v>
      </c>
      <c r="T41" s="359"/>
      <c r="U41" s="360"/>
      <c r="V41" s="336">
        <f>296.5/V118</f>
        <v>71.463003133285127</v>
      </c>
      <c r="W41" s="361">
        <f>188.9/W118</f>
        <v>98.952331063383966</v>
      </c>
      <c r="X41" s="359"/>
      <c r="Y41" s="362"/>
      <c r="Z41" s="363">
        <f>298.3/Z118</f>
        <v>70.353773584905653</v>
      </c>
      <c r="AA41" s="278">
        <f>295.5/AA118</f>
        <v>70.273483947681328</v>
      </c>
      <c r="AB41" s="244"/>
      <c r="AC41" s="263"/>
    </row>
    <row r="42" spans="1:29" ht="18" customHeight="1" x14ac:dyDescent="0.3">
      <c r="A42" s="244"/>
      <c r="B42" s="234">
        <v>5</v>
      </c>
      <c r="C42" s="230">
        <v>2010</v>
      </c>
      <c r="D42" s="276">
        <v>88.8</v>
      </c>
      <c r="E42" s="277">
        <v>87.6</v>
      </c>
      <c r="F42" s="278">
        <v>87.7</v>
      </c>
      <c r="G42" s="279">
        <v>86.4</v>
      </c>
      <c r="H42" s="276">
        <v>86.4</v>
      </c>
      <c r="I42" s="280">
        <v>88.6</v>
      </c>
      <c r="J42" s="281">
        <v>87</v>
      </c>
      <c r="K42" s="278">
        <v>88.2</v>
      </c>
      <c r="L42" s="276">
        <v>87.3</v>
      </c>
      <c r="M42" s="280">
        <v>88.5</v>
      </c>
      <c r="N42" s="282">
        <v>89.1</v>
      </c>
      <c r="O42" s="283">
        <v>87</v>
      </c>
      <c r="P42" s="276">
        <v>89</v>
      </c>
      <c r="Q42" s="283">
        <v>88</v>
      </c>
      <c r="R42" s="248"/>
      <c r="S42" s="358">
        <f>215.4/S118</f>
        <v>94.806338028169023</v>
      </c>
      <c r="T42" s="359"/>
      <c r="U42" s="360"/>
      <c r="V42" s="336">
        <f>304.4/V118</f>
        <v>73.367076403952751</v>
      </c>
      <c r="W42" s="361">
        <f>187.6/W118</f>
        <v>98.271346254583548</v>
      </c>
      <c r="X42" s="359"/>
      <c r="Y42" s="362"/>
      <c r="Z42" s="363">
        <f>309.8/Z118</f>
        <v>73.066037735849051</v>
      </c>
      <c r="AA42" s="278">
        <f>306.7/AA118</f>
        <v>72.936979785969086</v>
      </c>
      <c r="AB42" s="244"/>
      <c r="AC42" s="263"/>
    </row>
    <row r="43" spans="1:29" ht="18" customHeight="1" x14ac:dyDescent="0.3">
      <c r="A43" s="244"/>
      <c r="B43" s="234">
        <v>6</v>
      </c>
      <c r="C43" s="230">
        <v>2010</v>
      </c>
      <c r="D43" s="276">
        <v>88.7</v>
      </c>
      <c r="E43" s="277">
        <v>87.8</v>
      </c>
      <c r="F43" s="278">
        <v>87.8</v>
      </c>
      <c r="G43" s="279">
        <v>86.1</v>
      </c>
      <c r="H43" s="276">
        <v>86.5</v>
      </c>
      <c r="I43" s="280">
        <v>88.6</v>
      </c>
      <c r="J43" s="281">
        <v>87.1</v>
      </c>
      <c r="K43" s="278">
        <v>88.2</v>
      </c>
      <c r="L43" s="276">
        <v>87.4</v>
      </c>
      <c r="M43" s="280">
        <v>88.7</v>
      </c>
      <c r="N43" s="282">
        <v>89.2</v>
      </c>
      <c r="O43" s="283">
        <v>86.8</v>
      </c>
      <c r="P43" s="276">
        <v>89.1</v>
      </c>
      <c r="Q43" s="283">
        <v>88</v>
      </c>
      <c r="R43" s="248"/>
      <c r="S43" s="358">
        <f>216.7/S118</f>
        <v>95.37852112676056</v>
      </c>
      <c r="T43" s="359"/>
      <c r="U43" s="360"/>
      <c r="V43" s="336">
        <f>300.5/V118</f>
        <v>72.427090865268738</v>
      </c>
      <c r="W43" s="361">
        <f>187.4/W118</f>
        <v>98.166579360921943</v>
      </c>
      <c r="X43" s="359"/>
      <c r="Y43" s="362"/>
      <c r="Z43" s="363">
        <f>303.9/Z118</f>
        <v>71.674528301886781</v>
      </c>
      <c r="AA43" s="278">
        <f>301.1/AA118</f>
        <v>71.605231866825207</v>
      </c>
      <c r="AB43" s="244"/>
      <c r="AC43" s="263"/>
    </row>
    <row r="44" spans="1:29" ht="18" customHeight="1" x14ac:dyDescent="0.3">
      <c r="A44" s="244"/>
      <c r="B44" s="234">
        <v>7</v>
      </c>
      <c r="C44" s="230">
        <v>2010</v>
      </c>
      <c r="D44" s="276">
        <v>89.1</v>
      </c>
      <c r="E44" s="277">
        <v>88.4</v>
      </c>
      <c r="F44" s="278">
        <v>88.3</v>
      </c>
      <c r="G44" s="279">
        <v>87.4</v>
      </c>
      <c r="H44" s="276">
        <v>87.3</v>
      </c>
      <c r="I44" s="280">
        <v>88.8</v>
      </c>
      <c r="J44" s="281">
        <v>87.9</v>
      </c>
      <c r="K44" s="278">
        <v>88.6</v>
      </c>
      <c r="L44" s="276">
        <v>87.9</v>
      </c>
      <c r="M44" s="280">
        <v>89.3</v>
      </c>
      <c r="N44" s="282">
        <v>89.6</v>
      </c>
      <c r="O44" s="283">
        <v>87.8</v>
      </c>
      <c r="P44" s="276">
        <v>89.1</v>
      </c>
      <c r="Q44" s="283">
        <v>88.4</v>
      </c>
      <c r="R44" s="248"/>
      <c r="S44" s="358">
        <f>214.1/S118</f>
        <v>94.234154929577471</v>
      </c>
      <c r="T44" s="359"/>
      <c r="U44" s="360"/>
      <c r="V44" s="336">
        <f>296/V118</f>
        <v>71.342492166787181</v>
      </c>
      <c r="W44" s="361">
        <f>187.2/W118</f>
        <v>98.061812467260339</v>
      </c>
      <c r="X44" s="359"/>
      <c r="Y44" s="362"/>
      <c r="Z44" s="363">
        <f>297.9/Z118</f>
        <v>70.25943396226414</v>
      </c>
      <c r="AA44" s="278">
        <f>295.1/AA118</f>
        <v>70.178359096313912</v>
      </c>
      <c r="AB44" s="244"/>
      <c r="AC44" s="263"/>
    </row>
    <row r="45" spans="1:29" ht="18" customHeight="1" x14ac:dyDescent="0.3">
      <c r="A45" s="244"/>
      <c r="B45" s="234">
        <v>8</v>
      </c>
      <c r="C45" s="230">
        <v>2010</v>
      </c>
      <c r="D45" s="276">
        <v>89.1</v>
      </c>
      <c r="E45" s="277">
        <v>88.4</v>
      </c>
      <c r="F45" s="278">
        <v>88.3</v>
      </c>
      <c r="G45" s="279">
        <v>87.4</v>
      </c>
      <c r="H45" s="276">
        <v>87.4</v>
      </c>
      <c r="I45" s="280">
        <v>88.8</v>
      </c>
      <c r="J45" s="281">
        <v>88.1</v>
      </c>
      <c r="K45" s="278">
        <v>88.7</v>
      </c>
      <c r="L45" s="276">
        <v>87.9</v>
      </c>
      <c r="M45" s="280">
        <v>89.2</v>
      </c>
      <c r="N45" s="282">
        <v>89.8</v>
      </c>
      <c r="O45" s="283">
        <v>87.7</v>
      </c>
      <c r="P45" s="276">
        <v>89.8</v>
      </c>
      <c r="Q45" s="283">
        <v>88.5</v>
      </c>
      <c r="R45" s="248"/>
      <c r="S45" s="358">
        <f>212.6/S118</f>
        <v>93.573943661971839</v>
      </c>
      <c r="T45" s="359"/>
      <c r="U45" s="360"/>
      <c r="V45" s="336">
        <f>293.1/V118</f>
        <v>70.64352856109906</v>
      </c>
      <c r="W45" s="361">
        <f>186.7/W118</f>
        <v>97.799895233106326</v>
      </c>
      <c r="X45" s="359"/>
      <c r="Y45" s="362"/>
      <c r="Z45" s="363">
        <f>292.7/Z118</f>
        <v>69.033018867924525</v>
      </c>
      <c r="AA45" s="278">
        <f>289.9/AA118</f>
        <v>68.941736028537449</v>
      </c>
      <c r="AB45" s="244"/>
      <c r="AC45" s="263"/>
    </row>
    <row r="46" spans="1:29" ht="18" customHeight="1" x14ac:dyDescent="0.3">
      <c r="A46" s="244"/>
      <c r="B46" s="234">
        <v>9</v>
      </c>
      <c r="C46" s="230">
        <v>2010</v>
      </c>
      <c r="D46" s="276">
        <v>89.2</v>
      </c>
      <c r="E46" s="277">
        <v>88.6</v>
      </c>
      <c r="F46" s="278">
        <v>88.3</v>
      </c>
      <c r="G46" s="279">
        <v>87.6</v>
      </c>
      <c r="H46" s="276">
        <v>87.9</v>
      </c>
      <c r="I46" s="280">
        <v>88.6</v>
      </c>
      <c r="J46" s="281">
        <v>88.5</v>
      </c>
      <c r="K46" s="278">
        <v>88.6</v>
      </c>
      <c r="L46" s="276">
        <v>88.1</v>
      </c>
      <c r="M46" s="280">
        <v>89.5</v>
      </c>
      <c r="N46" s="282">
        <v>89.8</v>
      </c>
      <c r="O46" s="283">
        <v>87.6</v>
      </c>
      <c r="P46" s="276">
        <v>89.9</v>
      </c>
      <c r="Q46" s="283">
        <v>88.8</v>
      </c>
      <c r="R46" s="248"/>
      <c r="S46" s="358">
        <f>212.6/S118</f>
        <v>93.573943661971839</v>
      </c>
      <c r="T46" s="359"/>
      <c r="U46" s="360"/>
      <c r="V46" s="336">
        <f>290.6/V118</f>
        <v>70.040973728609302</v>
      </c>
      <c r="W46" s="361">
        <f>186.7/W118</f>
        <v>97.799895233106326</v>
      </c>
      <c r="X46" s="359"/>
      <c r="Y46" s="362"/>
      <c r="Z46" s="363">
        <f>292.7/Z118</f>
        <v>69.033018867924525</v>
      </c>
      <c r="AA46" s="278">
        <f>289.9/AA118</f>
        <v>68.941736028537449</v>
      </c>
      <c r="AB46" s="244"/>
      <c r="AC46" s="263"/>
    </row>
    <row r="47" spans="1:29" ht="18" customHeight="1" x14ac:dyDescent="0.3">
      <c r="A47" s="244"/>
      <c r="B47" s="234">
        <v>10</v>
      </c>
      <c r="C47" s="230">
        <v>2010</v>
      </c>
      <c r="D47" s="276">
        <v>89.3</v>
      </c>
      <c r="E47" s="277">
        <v>88.7</v>
      </c>
      <c r="F47" s="278">
        <v>88.5</v>
      </c>
      <c r="G47" s="279">
        <v>87.8</v>
      </c>
      <c r="H47" s="276">
        <v>88.1</v>
      </c>
      <c r="I47" s="280">
        <v>88.8</v>
      </c>
      <c r="J47" s="281">
        <v>88.5</v>
      </c>
      <c r="K47" s="278">
        <v>88.8</v>
      </c>
      <c r="L47" s="276">
        <v>88.2</v>
      </c>
      <c r="M47" s="280">
        <v>89.6</v>
      </c>
      <c r="N47" s="282">
        <v>90</v>
      </c>
      <c r="O47" s="283">
        <v>87.9</v>
      </c>
      <c r="P47" s="276">
        <v>90.4</v>
      </c>
      <c r="Q47" s="283">
        <v>89.2</v>
      </c>
      <c r="R47" s="248"/>
      <c r="S47" s="358">
        <f>213.7/S118</f>
        <v>94.058098591549296</v>
      </c>
      <c r="T47" s="359">
        <f>248.8/T118</f>
        <v>86.089965397923876</v>
      </c>
      <c r="U47" s="360">
        <f>264.6/U118</f>
        <v>82.173913043478265</v>
      </c>
      <c r="V47" s="336">
        <f>291.3/V118</f>
        <v>70.209689081706443</v>
      </c>
      <c r="W47" s="361">
        <f>186.8/W118</f>
        <v>97.852278679937143</v>
      </c>
      <c r="X47" s="359">
        <f>205.1/X118</f>
        <v>93.397085610200349</v>
      </c>
      <c r="Y47" s="362">
        <f>189.4/Y118</f>
        <v>95.08032128514057</v>
      </c>
      <c r="Z47" s="363">
        <f>291.6/Z118</f>
        <v>68.773584905660385</v>
      </c>
      <c r="AA47" s="278">
        <f>288.7/AA118</f>
        <v>68.656361474435187</v>
      </c>
      <c r="AB47" s="244"/>
      <c r="AC47" s="263"/>
    </row>
    <row r="48" spans="1:29" ht="18" customHeight="1" x14ac:dyDescent="0.3">
      <c r="A48" s="244"/>
      <c r="B48" s="234">
        <v>11</v>
      </c>
      <c r="C48" s="230">
        <v>2010</v>
      </c>
      <c r="D48" s="276">
        <v>89.4</v>
      </c>
      <c r="E48" s="277">
        <v>88.9</v>
      </c>
      <c r="F48" s="278">
        <v>88.5</v>
      </c>
      <c r="G48" s="279">
        <v>87.8</v>
      </c>
      <c r="H48" s="276">
        <v>88.1</v>
      </c>
      <c r="I48" s="280">
        <v>88.9</v>
      </c>
      <c r="J48" s="281">
        <v>88.6</v>
      </c>
      <c r="K48" s="278">
        <v>89</v>
      </c>
      <c r="L48" s="276">
        <v>88.3</v>
      </c>
      <c r="M48" s="280">
        <v>89.8</v>
      </c>
      <c r="N48" s="282">
        <v>90.1</v>
      </c>
      <c r="O48" s="283">
        <v>88</v>
      </c>
      <c r="P48" s="276">
        <v>90.2</v>
      </c>
      <c r="Q48" s="283">
        <v>89.4</v>
      </c>
      <c r="R48" s="248"/>
      <c r="S48" s="358">
        <f>212.9/S118</f>
        <v>93.705985915492974</v>
      </c>
      <c r="T48" s="359">
        <f>248.7/T118</f>
        <v>86.055363321799305</v>
      </c>
      <c r="U48" s="360">
        <f>264.7/U118</f>
        <v>82.204968944099377</v>
      </c>
      <c r="V48" s="336">
        <f>299/V118</f>
        <v>72.065557965774886</v>
      </c>
      <c r="W48" s="361">
        <f>187.5/W118</f>
        <v>98.218962807752746</v>
      </c>
      <c r="X48" s="359">
        <f>205.4/X118</f>
        <v>93.533697632058278</v>
      </c>
      <c r="Y48" s="362">
        <f>190.1/Y118</f>
        <v>95.431726907630519</v>
      </c>
      <c r="Z48" s="363">
        <f>301.5/Z118</f>
        <v>71.10849056603773</v>
      </c>
      <c r="AA48" s="278">
        <f>298.7/AA118</f>
        <v>71.034482758620683</v>
      </c>
      <c r="AB48" s="244"/>
      <c r="AC48" s="263"/>
    </row>
    <row r="49" spans="1:29" ht="18" customHeight="1" x14ac:dyDescent="0.3">
      <c r="A49" s="244"/>
      <c r="B49" s="235">
        <v>12</v>
      </c>
      <c r="C49" s="233">
        <v>2010</v>
      </c>
      <c r="D49" s="284">
        <v>89.6</v>
      </c>
      <c r="E49" s="285">
        <v>89</v>
      </c>
      <c r="F49" s="286">
        <v>88.7</v>
      </c>
      <c r="G49" s="287">
        <v>87.8</v>
      </c>
      <c r="H49" s="284">
        <v>88.3</v>
      </c>
      <c r="I49" s="288">
        <v>89</v>
      </c>
      <c r="J49" s="289">
        <v>88.8</v>
      </c>
      <c r="K49" s="286">
        <v>89</v>
      </c>
      <c r="L49" s="284">
        <v>88.3</v>
      </c>
      <c r="M49" s="288">
        <v>89.9</v>
      </c>
      <c r="N49" s="290">
        <v>90.3</v>
      </c>
      <c r="O49" s="291">
        <v>88.4</v>
      </c>
      <c r="P49" s="284">
        <v>90.2</v>
      </c>
      <c r="Q49" s="291">
        <v>89.4</v>
      </c>
      <c r="R49" s="248"/>
      <c r="S49" s="364">
        <f>213.1/S118</f>
        <v>93.794014084507054</v>
      </c>
      <c r="T49" s="365">
        <f>248.5/T118</f>
        <v>85.986159169550163</v>
      </c>
      <c r="U49" s="366">
        <f>266.2/U118</f>
        <v>82.670807453416145</v>
      </c>
      <c r="V49" s="346">
        <f>309.4/V118</f>
        <v>74.572186068932268</v>
      </c>
      <c r="W49" s="367">
        <f>185.8/W118</f>
        <v>97.328444211629133</v>
      </c>
      <c r="X49" s="365">
        <f>201.5/X118</f>
        <v>91.757741347905281</v>
      </c>
      <c r="Y49" s="368">
        <f>189.2/Y118</f>
        <v>94.97991967871485</v>
      </c>
      <c r="Z49" s="369">
        <f>301.5/Z118</f>
        <v>71.10849056603773</v>
      </c>
      <c r="AA49" s="286">
        <f>298.7/AA118</f>
        <v>71.034482758620683</v>
      </c>
      <c r="AB49" s="244"/>
      <c r="AC49" s="263"/>
    </row>
    <row r="50" spans="1:29" ht="18" customHeight="1" x14ac:dyDescent="0.3">
      <c r="A50" s="244"/>
      <c r="B50" s="231">
        <v>1</v>
      </c>
      <c r="C50" s="228">
        <v>2011</v>
      </c>
      <c r="D50" s="292">
        <v>90</v>
      </c>
      <c r="E50" s="293">
        <v>89.5</v>
      </c>
      <c r="F50" s="294">
        <v>89</v>
      </c>
      <c r="G50" s="295">
        <v>88.5</v>
      </c>
      <c r="H50" s="292">
        <v>88.9</v>
      </c>
      <c r="I50" s="296">
        <v>89.4</v>
      </c>
      <c r="J50" s="297">
        <v>89.3</v>
      </c>
      <c r="K50" s="294">
        <v>89.5</v>
      </c>
      <c r="L50" s="292">
        <v>88.9</v>
      </c>
      <c r="M50" s="296">
        <v>90</v>
      </c>
      <c r="N50" s="298">
        <v>90.6</v>
      </c>
      <c r="O50" s="299">
        <v>88.9</v>
      </c>
      <c r="P50" s="292">
        <v>90.8</v>
      </c>
      <c r="Q50" s="299">
        <v>90.1</v>
      </c>
      <c r="R50" s="248"/>
      <c r="S50" s="351">
        <f>215.4/S118</f>
        <v>94.806338028169023</v>
      </c>
      <c r="T50" s="352">
        <f>250.3/T118</f>
        <v>86.608996539792386</v>
      </c>
      <c r="U50" s="353">
        <f>266.7/U118</f>
        <v>82.826086956521735</v>
      </c>
      <c r="V50" s="354">
        <f>321/V118</f>
        <v>77.368040491684738</v>
      </c>
      <c r="W50" s="355">
        <f>184.2/W118</f>
        <v>96.490309062336294</v>
      </c>
      <c r="X50" s="352">
        <f>201.9/X118</f>
        <v>91.939890710382514</v>
      </c>
      <c r="Y50" s="356">
        <f>189/Y118</f>
        <v>94.879518072289159</v>
      </c>
      <c r="Z50" s="357">
        <f>311/Z118</f>
        <v>73.349056603773576</v>
      </c>
      <c r="AA50" s="294">
        <f>307.9/AA118</f>
        <v>73.222354340071334</v>
      </c>
      <c r="AB50" s="244"/>
      <c r="AC50" s="263"/>
    </row>
    <row r="51" spans="1:29" ht="18" customHeight="1" x14ac:dyDescent="0.3">
      <c r="A51" s="244"/>
      <c r="B51" s="234">
        <v>2</v>
      </c>
      <c r="C51" s="230">
        <v>2011</v>
      </c>
      <c r="D51" s="276">
        <v>90.7</v>
      </c>
      <c r="E51" s="277">
        <v>90.2</v>
      </c>
      <c r="F51" s="278">
        <v>89.7</v>
      </c>
      <c r="G51" s="279">
        <v>89.1</v>
      </c>
      <c r="H51" s="276">
        <v>89.5</v>
      </c>
      <c r="I51" s="280">
        <v>90</v>
      </c>
      <c r="J51" s="281">
        <v>89.9</v>
      </c>
      <c r="K51" s="278">
        <v>90.1</v>
      </c>
      <c r="L51" s="276">
        <v>90</v>
      </c>
      <c r="M51" s="280">
        <v>90.5</v>
      </c>
      <c r="N51" s="282">
        <v>91.2</v>
      </c>
      <c r="O51" s="283">
        <v>89.4</v>
      </c>
      <c r="P51" s="276">
        <v>91.4</v>
      </c>
      <c r="Q51" s="283">
        <v>90.7</v>
      </c>
      <c r="R51" s="248"/>
      <c r="S51" s="358">
        <f>215.9/S118</f>
        <v>95.026408450704238</v>
      </c>
      <c r="T51" s="359">
        <f>257.9/T118</f>
        <v>89.238754325259507</v>
      </c>
      <c r="U51" s="360">
        <f>272.2/U118</f>
        <v>84.534161490683218</v>
      </c>
      <c r="V51" s="336">
        <f>350.9/V118</f>
        <v>84.574596288262228</v>
      </c>
      <c r="W51" s="361">
        <f>186.6/W118</f>
        <v>97.747511786275538</v>
      </c>
      <c r="X51" s="359">
        <f>202.7/X118</f>
        <v>92.304189435336966</v>
      </c>
      <c r="Y51" s="362">
        <f>190.4/Y118</f>
        <v>95.582329317269085</v>
      </c>
      <c r="Z51" s="363">
        <f>322.9/Z118</f>
        <v>76.155660377358487</v>
      </c>
      <c r="AA51" s="278">
        <f>319.9/AA118</f>
        <v>76.076099881093924</v>
      </c>
      <c r="AB51" s="244"/>
      <c r="AC51" s="263"/>
    </row>
    <row r="52" spans="1:29" ht="18" customHeight="1" x14ac:dyDescent="0.3">
      <c r="A52" s="244"/>
      <c r="B52" s="234">
        <v>3</v>
      </c>
      <c r="C52" s="230">
        <v>2011</v>
      </c>
      <c r="D52" s="276">
        <v>91.8</v>
      </c>
      <c r="E52" s="277">
        <v>91.3</v>
      </c>
      <c r="F52" s="278">
        <v>90.6</v>
      </c>
      <c r="G52" s="279">
        <v>90.2</v>
      </c>
      <c r="H52" s="276">
        <v>90.7</v>
      </c>
      <c r="I52" s="280">
        <v>90.9</v>
      </c>
      <c r="J52" s="281">
        <v>90.7</v>
      </c>
      <c r="K52" s="278">
        <v>91</v>
      </c>
      <c r="L52" s="276">
        <v>91</v>
      </c>
      <c r="M52" s="280">
        <v>91.6</v>
      </c>
      <c r="N52" s="282">
        <v>92.1</v>
      </c>
      <c r="O52" s="283">
        <v>90.7</v>
      </c>
      <c r="P52" s="276">
        <v>92</v>
      </c>
      <c r="Q52" s="283">
        <v>92</v>
      </c>
      <c r="R52" s="248"/>
      <c r="S52" s="358">
        <f>217.4/S118</f>
        <v>95.686619718309871</v>
      </c>
      <c r="T52" s="359">
        <f>261.5/T118</f>
        <v>90.484429065743939</v>
      </c>
      <c r="U52" s="360">
        <f>283.1/U118</f>
        <v>87.9192546583851</v>
      </c>
      <c r="V52" s="336">
        <f>374.2/V118</f>
        <v>90.190407327066765</v>
      </c>
      <c r="W52" s="361">
        <f>187.3/W118</f>
        <v>98.114195914091155</v>
      </c>
      <c r="X52" s="359">
        <f>204/X118</f>
        <v>92.896174863387969</v>
      </c>
      <c r="Y52" s="362">
        <f>191.3/Y118</f>
        <v>96.03413654618474</v>
      </c>
      <c r="Z52" s="363">
        <f>348.3/Z118</f>
        <v>82.146226415094333</v>
      </c>
      <c r="AA52" s="278">
        <f>345.5/AA118</f>
        <v>82.164090368608797</v>
      </c>
      <c r="AB52" s="244"/>
      <c r="AC52" s="263"/>
    </row>
    <row r="53" spans="1:29" ht="18" customHeight="1" x14ac:dyDescent="0.3">
      <c r="A53" s="244"/>
      <c r="B53" s="234">
        <v>4</v>
      </c>
      <c r="C53" s="230">
        <v>2011</v>
      </c>
      <c r="D53" s="276">
        <v>92.1</v>
      </c>
      <c r="E53" s="277">
        <v>91.5</v>
      </c>
      <c r="F53" s="278">
        <v>90.9</v>
      </c>
      <c r="G53" s="279">
        <v>90.5</v>
      </c>
      <c r="H53" s="276">
        <v>91.1</v>
      </c>
      <c r="I53" s="280">
        <v>91.3</v>
      </c>
      <c r="J53" s="281">
        <v>91.2</v>
      </c>
      <c r="K53" s="278">
        <v>91.3</v>
      </c>
      <c r="L53" s="276">
        <v>91.3</v>
      </c>
      <c r="M53" s="280">
        <v>92</v>
      </c>
      <c r="N53" s="282">
        <v>92.3</v>
      </c>
      <c r="O53" s="283">
        <v>91.1</v>
      </c>
      <c r="P53" s="276">
        <v>92.2</v>
      </c>
      <c r="Q53" s="283">
        <v>92.2</v>
      </c>
      <c r="R53" s="248"/>
      <c r="S53" s="358">
        <f>216/S118</f>
        <v>95.070422535211279</v>
      </c>
      <c r="T53" s="359">
        <f>261.6/T118</f>
        <v>90.51903114186851</v>
      </c>
      <c r="U53" s="360">
        <f>292.7/U118</f>
        <v>90.90062111801241</v>
      </c>
      <c r="V53" s="336">
        <f>396.8/V118</f>
        <v>95.637503012774161</v>
      </c>
      <c r="W53" s="361">
        <f>187.5/W118</f>
        <v>98.218962807752746</v>
      </c>
      <c r="X53" s="359">
        <f>204/X118</f>
        <v>92.896174863387969</v>
      </c>
      <c r="Y53" s="362">
        <f>191.8/Y118</f>
        <v>96.285140562248998</v>
      </c>
      <c r="Z53" s="363">
        <f>376.1/Z118</f>
        <v>88.702830188679243</v>
      </c>
      <c r="AA53" s="278">
        <f>371.1/AA118</f>
        <v>88.252080856123669</v>
      </c>
      <c r="AB53" s="244"/>
      <c r="AC53" s="263"/>
    </row>
    <row r="54" spans="1:29" ht="18" customHeight="1" x14ac:dyDescent="0.3">
      <c r="A54" s="244"/>
      <c r="B54" s="234">
        <v>5</v>
      </c>
      <c r="C54" s="230">
        <v>2011</v>
      </c>
      <c r="D54" s="276">
        <v>92.6</v>
      </c>
      <c r="E54" s="277">
        <v>91.9</v>
      </c>
      <c r="F54" s="278">
        <v>91.3</v>
      </c>
      <c r="G54" s="279">
        <v>90.8</v>
      </c>
      <c r="H54" s="276">
        <v>91.4</v>
      </c>
      <c r="I54" s="280">
        <v>91.8</v>
      </c>
      <c r="J54" s="281">
        <v>91.5</v>
      </c>
      <c r="K54" s="278">
        <v>91.7</v>
      </c>
      <c r="L54" s="276">
        <v>91.7</v>
      </c>
      <c r="M54" s="280">
        <v>92.4</v>
      </c>
      <c r="N54" s="282">
        <v>92.8</v>
      </c>
      <c r="O54" s="283">
        <v>91.5</v>
      </c>
      <c r="P54" s="276">
        <v>92.7</v>
      </c>
      <c r="Q54" s="283">
        <v>92.7</v>
      </c>
      <c r="R54" s="248"/>
      <c r="S54" s="358">
        <f>215.7/S118</f>
        <v>94.938380281690144</v>
      </c>
      <c r="T54" s="359">
        <f>261.3/T118</f>
        <v>90.415224913494811</v>
      </c>
      <c r="U54" s="360">
        <f>294/U118</f>
        <v>91.304347826086953</v>
      </c>
      <c r="V54" s="336">
        <f>392.3/V118</f>
        <v>94.552904314292604</v>
      </c>
      <c r="W54" s="361">
        <f>187.5/W118</f>
        <v>98.218962807752746</v>
      </c>
      <c r="X54" s="359">
        <f>205.5/X118</f>
        <v>93.579234972677583</v>
      </c>
      <c r="Y54" s="362">
        <f>193.3/Y118</f>
        <v>97.03815261044177</v>
      </c>
      <c r="Z54" s="363">
        <f>382.4/Z118</f>
        <v>90.188679245283012</v>
      </c>
      <c r="AA54" s="278">
        <f>377.5/AA118</f>
        <v>89.77407847800238</v>
      </c>
      <c r="AB54" s="244"/>
      <c r="AC54" s="263"/>
    </row>
    <row r="55" spans="1:29" ht="18" customHeight="1" x14ac:dyDescent="0.3">
      <c r="A55" s="244"/>
      <c r="B55" s="234">
        <v>6</v>
      </c>
      <c r="C55" s="230">
        <v>2011</v>
      </c>
      <c r="D55" s="276">
        <v>92.9</v>
      </c>
      <c r="E55" s="277">
        <v>92.1</v>
      </c>
      <c r="F55" s="278">
        <v>91.9</v>
      </c>
      <c r="G55" s="279">
        <v>91</v>
      </c>
      <c r="H55" s="276">
        <v>91.7</v>
      </c>
      <c r="I55" s="280">
        <v>92.3</v>
      </c>
      <c r="J55" s="281">
        <v>92.1</v>
      </c>
      <c r="K55" s="278">
        <v>92.2</v>
      </c>
      <c r="L55" s="276">
        <v>92</v>
      </c>
      <c r="M55" s="280">
        <v>92.7</v>
      </c>
      <c r="N55" s="282">
        <v>93.2</v>
      </c>
      <c r="O55" s="283">
        <v>92.2</v>
      </c>
      <c r="P55" s="276">
        <v>92.8</v>
      </c>
      <c r="Q55" s="283">
        <v>93</v>
      </c>
      <c r="R55" s="248"/>
      <c r="S55" s="358">
        <f>216.1/S118</f>
        <v>95.114436619718319</v>
      </c>
      <c r="T55" s="359">
        <f>265.2/T118</f>
        <v>91.764705882352928</v>
      </c>
      <c r="U55" s="360">
        <f>294.4/U118</f>
        <v>91.428571428571416</v>
      </c>
      <c r="V55" s="336">
        <f>380.9/V118</f>
        <v>91.805254278139302</v>
      </c>
      <c r="W55" s="361">
        <f>188.8/W118</f>
        <v>98.899947616553177</v>
      </c>
      <c r="X55" s="359">
        <f>205.5/X118</f>
        <v>93.579234972677583</v>
      </c>
      <c r="Y55" s="362">
        <f>194/Y118</f>
        <v>97.389558232931734</v>
      </c>
      <c r="Z55" s="363">
        <f>367.3/Z118</f>
        <v>86.627358490566039</v>
      </c>
      <c r="AA55" s="278">
        <f>362.3/AA118</f>
        <v>86.159334126040434</v>
      </c>
      <c r="AB55" s="244"/>
      <c r="AC55" s="263"/>
    </row>
    <row r="56" spans="1:29" ht="18" customHeight="1" x14ac:dyDescent="0.3">
      <c r="A56" s="244"/>
      <c r="B56" s="234">
        <v>7</v>
      </c>
      <c r="C56" s="230">
        <v>2011</v>
      </c>
      <c r="D56" s="276">
        <v>93.5</v>
      </c>
      <c r="E56" s="277">
        <v>93.1</v>
      </c>
      <c r="F56" s="278">
        <v>92.6</v>
      </c>
      <c r="G56" s="279">
        <v>92.9</v>
      </c>
      <c r="H56" s="276">
        <v>93</v>
      </c>
      <c r="I56" s="280">
        <v>93</v>
      </c>
      <c r="J56" s="281">
        <v>92.9</v>
      </c>
      <c r="K56" s="278">
        <v>93</v>
      </c>
      <c r="L56" s="276">
        <v>92.8</v>
      </c>
      <c r="M56" s="280">
        <v>93.4</v>
      </c>
      <c r="N56" s="282">
        <v>94</v>
      </c>
      <c r="O56" s="283">
        <v>93</v>
      </c>
      <c r="P56" s="276">
        <v>93.7</v>
      </c>
      <c r="Q56" s="283">
        <v>93.4</v>
      </c>
      <c r="R56" s="248"/>
      <c r="S56" s="358">
        <f>219/S118</f>
        <v>96.390845070422543</v>
      </c>
      <c r="T56" s="359">
        <f>267.7/T118</f>
        <v>92.62975778546712</v>
      </c>
      <c r="U56" s="360">
        <f>296.2/U118</f>
        <v>91.987577639751549</v>
      </c>
      <c r="V56" s="336">
        <f>378.3/V118</f>
        <v>91.178597252349959</v>
      </c>
      <c r="W56" s="361">
        <f>189.2/W118</f>
        <v>99.109481403876373</v>
      </c>
      <c r="X56" s="359">
        <f>210.1/X118</f>
        <v>95.673952641165741</v>
      </c>
      <c r="Y56" s="362">
        <f>193.9/Y118</f>
        <v>97.339357429718874</v>
      </c>
      <c r="Z56" s="363">
        <f>363/Z118</f>
        <v>85.613207547169807</v>
      </c>
      <c r="AA56" s="278">
        <f>357.9/AA118</f>
        <v>85.112960760998803</v>
      </c>
      <c r="AB56" s="244"/>
      <c r="AC56" s="263"/>
    </row>
    <row r="57" spans="1:29" ht="18" customHeight="1" x14ac:dyDescent="0.3">
      <c r="A57" s="244"/>
      <c r="B57" s="234">
        <v>8</v>
      </c>
      <c r="C57" s="230">
        <v>2011</v>
      </c>
      <c r="D57" s="276">
        <v>93.7</v>
      </c>
      <c r="E57" s="277">
        <v>93.2</v>
      </c>
      <c r="F57" s="278">
        <v>92.8</v>
      </c>
      <c r="G57" s="279">
        <v>93.3</v>
      </c>
      <c r="H57" s="276">
        <v>93.3</v>
      </c>
      <c r="I57" s="280">
        <v>93.3</v>
      </c>
      <c r="J57" s="281">
        <v>93</v>
      </c>
      <c r="K57" s="278">
        <v>93.2</v>
      </c>
      <c r="L57" s="276">
        <v>93</v>
      </c>
      <c r="M57" s="280">
        <v>93.6</v>
      </c>
      <c r="N57" s="282">
        <v>94.1</v>
      </c>
      <c r="O57" s="283">
        <v>93.2</v>
      </c>
      <c r="P57" s="276">
        <v>93.8</v>
      </c>
      <c r="Q57" s="283">
        <v>93.8</v>
      </c>
      <c r="R57" s="248"/>
      <c r="S57" s="358">
        <f>219.7/S118</f>
        <v>96.698943661971839</v>
      </c>
      <c r="T57" s="359">
        <f>268.8/T118</f>
        <v>93.010380622837374</v>
      </c>
      <c r="U57" s="360">
        <f>296.9/U118</f>
        <v>92.204968944099363</v>
      </c>
      <c r="V57" s="336">
        <f>377.7/V118</f>
        <v>91.033984092552416</v>
      </c>
      <c r="W57" s="361">
        <f>189.3/W118</f>
        <v>99.161864850707175</v>
      </c>
      <c r="X57" s="359">
        <f>214.1/X118</f>
        <v>97.495446265938057</v>
      </c>
      <c r="Y57" s="362">
        <f>194.3/Y118</f>
        <v>97.540160642570285</v>
      </c>
      <c r="Z57" s="363">
        <f>368.9/Z118</f>
        <v>87.004716981132063</v>
      </c>
      <c r="AA57" s="370">
        <f>363.9/AA118</f>
        <v>86.539833531510098</v>
      </c>
      <c r="AB57" s="244"/>
      <c r="AC57" s="263"/>
    </row>
    <row r="58" spans="1:29" ht="18" customHeight="1" x14ac:dyDescent="0.3">
      <c r="A58" s="244"/>
      <c r="B58" s="234">
        <v>9</v>
      </c>
      <c r="C58" s="230">
        <v>2011</v>
      </c>
      <c r="D58" s="276">
        <v>94.1</v>
      </c>
      <c r="E58" s="277">
        <v>93.6</v>
      </c>
      <c r="F58" s="278">
        <v>93.1</v>
      </c>
      <c r="G58" s="279">
        <v>93.6</v>
      </c>
      <c r="H58" s="276">
        <v>93.7</v>
      </c>
      <c r="I58" s="280">
        <v>93.5</v>
      </c>
      <c r="J58" s="281">
        <v>93.2</v>
      </c>
      <c r="K58" s="278">
        <v>93.5</v>
      </c>
      <c r="L58" s="276">
        <v>93.3</v>
      </c>
      <c r="M58" s="280">
        <v>93.9</v>
      </c>
      <c r="N58" s="282">
        <v>94.1</v>
      </c>
      <c r="O58" s="283">
        <v>93.5</v>
      </c>
      <c r="P58" s="276">
        <v>94.3</v>
      </c>
      <c r="Q58" s="283">
        <v>94.1</v>
      </c>
      <c r="R58" s="248"/>
      <c r="S58" s="358">
        <f>220.2/S118</f>
        <v>96.91901408450704</v>
      </c>
      <c r="T58" s="359">
        <f>272.6/T118</f>
        <v>94.325259515570934</v>
      </c>
      <c r="U58" s="360">
        <f>294.9/U118</f>
        <v>91.583850931677006</v>
      </c>
      <c r="V58" s="336">
        <f>377.7/V118</f>
        <v>91.033984092552416</v>
      </c>
      <c r="W58" s="361">
        <f>189.1/W118</f>
        <v>99.057097957045571</v>
      </c>
      <c r="X58" s="359">
        <f>213.8/X118</f>
        <v>97.358834244080143</v>
      </c>
      <c r="Y58" s="362">
        <f>194.3/Y118</f>
        <v>97.540160642570285</v>
      </c>
      <c r="Z58" s="363">
        <f>368.9/Z118</f>
        <v>87.004716981132063</v>
      </c>
      <c r="AA58" s="370">
        <f>363.9/AA118</f>
        <v>86.539833531510098</v>
      </c>
      <c r="AB58" s="244"/>
      <c r="AC58" s="263"/>
    </row>
    <row r="59" spans="1:29" ht="18" customHeight="1" x14ac:dyDescent="0.3">
      <c r="A59" s="244"/>
      <c r="B59" s="234">
        <v>10</v>
      </c>
      <c r="C59" s="230">
        <v>2011</v>
      </c>
      <c r="D59" s="276">
        <v>94.5</v>
      </c>
      <c r="E59" s="277">
        <v>94.1</v>
      </c>
      <c r="F59" s="278">
        <v>93.7</v>
      </c>
      <c r="G59" s="279">
        <v>94.3</v>
      </c>
      <c r="H59" s="276">
        <v>94.3</v>
      </c>
      <c r="I59" s="280">
        <v>94.2</v>
      </c>
      <c r="J59" s="281">
        <v>93.8</v>
      </c>
      <c r="K59" s="278">
        <v>94.1</v>
      </c>
      <c r="L59" s="276">
        <v>93.7</v>
      </c>
      <c r="M59" s="280">
        <v>94.4</v>
      </c>
      <c r="N59" s="282">
        <v>94.7</v>
      </c>
      <c r="O59" s="283">
        <v>94.1</v>
      </c>
      <c r="P59" s="276">
        <v>94.8</v>
      </c>
      <c r="Q59" s="283">
        <v>94.7</v>
      </c>
      <c r="R59" s="248"/>
      <c r="S59" s="358">
        <f>221.6/S118</f>
        <v>97.535211267605646</v>
      </c>
      <c r="T59" s="359">
        <f>276.9/T118</f>
        <v>95.813148788927322</v>
      </c>
      <c r="U59" s="360">
        <f>296.3/U118</f>
        <v>92.018633540372676</v>
      </c>
      <c r="V59" s="336">
        <f>392.4/V118</f>
        <v>94.577006507592188</v>
      </c>
      <c r="W59" s="361">
        <f>187.6/W118</f>
        <v>98.271346254583548</v>
      </c>
      <c r="X59" s="359">
        <f>213.2/X118</f>
        <v>97.085610200364286</v>
      </c>
      <c r="Y59" s="362">
        <f>193.9/Y118</f>
        <v>97.339357429718874</v>
      </c>
      <c r="Z59" s="363">
        <f>382.8/Z118</f>
        <v>90.283018867924525</v>
      </c>
      <c r="AA59" s="278">
        <f>377.9/AA118</f>
        <v>89.869203329369796</v>
      </c>
      <c r="AB59" s="244"/>
      <c r="AC59" s="263"/>
    </row>
    <row r="60" spans="1:29" ht="18" customHeight="1" x14ac:dyDescent="0.3">
      <c r="A60" s="244"/>
      <c r="B60" s="234">
        <v>11</v>
      </c>
      <c r="C60" s="230">
        <v>2011</v>
      </c>
      <c r="D60" s="276">
        <v>94.6</v>
      </c>
      <c r="E60" s="277">
        <v>94.4</v>
      </c>
      <c r="F60" s="278">
        <v>93.9</v>
      </c>
      <c r="G60" s="279">
        <v>94.7</v>
      </c>
      <c r="H60" s="276">
        <v>94.5</v>
      </c>
      <c r="I60" s="280">
        <v>94.6</v>
      </c>
      <c r="J60" s="281">
        <v>94.2</v>
      </c>
      <c r="K60" s="278">
        <v>94.4</v>
      </c>
      <c r="L60" s="276">
        <v>94</v>
      </c>
      <c r="M60" s="280">
        <v>94.7</v>
      </c>
      <c r="N60" s="282">
        <v>94.8</v>
      </c>
      <c r="O60" s="283">
        <v>94.4</v>
      </c>
      <c r="P60" s="276">
        <v>94.9</v>
      </c>
      <c r="Q60" s="283">
        <v>94.8</v>
      </c>
      <c r="R60" s="248"/>
      <c r="S60" s="358">
        <f>223.2/S118</f>
        <v>98.239436619718319</v>
      </c>
      <c r="T60" s="359">
        <f>286.2/T118</f>
        <v>99.031141868512108</v>
      </c>
      <c r="U60" s="360">
        <f>303.7/U118</f>
        <v>94.31677018633539</v>
      </c>
      <c r="V60" s="336">
        <f>413.1/V118</f>
        <v>99.566160520607383</v>
      </c>
      <c r="W60" s="361">
        <f>187.7/W118</f>
        <v>98.323729701414351</v>
      </c>
      <c r="X60" s="359">
        <f>213.4/X118</f>
        <v>97.17668488160291</v>
      </c>
      <c r="Y60" s="362">
        <f>194.3/Y118</f>
        <v>97.540160642570285</v>
      </c>
      <c r="Z60" s="363">
        <f>397.1/Z118</f>
        <v>93.655660377358487</v>
      </c>
      <c r="AA60" s="278">
        <f>392.3/AA118</f>
        <v>93.29369797859691</v>
      </c>
      <c r="AB60" s="244"/>
      <c r="AC60" s="263"/>
    </row>
    <row r="61" spans="1:29" ht="18" customHeight="1" x14ac:dyDescent="0.3">
      <c r="A61" s="244"/>
      <c r="B61" s="235">
        <v>12</v>
      </c>
      <c r="C61" s="233">
        <v>2011</v>
      </c>
      <c r="D61" s="284">
        <v>94.8</v>
      </c>
      <c r="E61" s="285">
        <v>94.6</v>
      </c>
      <c r="F61" s="286">
        <v>94.1</v>
      </c>
      <c r="G61" s="287">
        <v>94.9</v>
      </c>
      <c r="H61" s="284">
        <v>94.9</v>
      </c>
      <c r="I61" s="288">
        <v>94.8</v>
      </c>
      <c r="J61" s="289">
        <v>94.3</v>
      </c>
      <c r="K61" s="286">
        <v>94.8</v>
      </c>
      <c r="L61" s="284">
        <v>94.2</v>
      </c>
      <c r="M61" s="288">
        <v>94.9</v>
      </c>
      <c r="N61" s="290">
        <v>94.9</v>
      </c>
      <c r="O61" s="291">
        <v>94.5</v>
      </c>
      <c r="P61" s="284">
        <v>95.2</v>
      </c>
      <c r="Q61" s="291">
        <v>95.1</v>
      </c>
      <c r="R61" s="248"/>
      <c r="S61" s="364">
        <f>223.6/S118</f>
        <v>98.41549295774648</v>
      </c>
      <c r="T61" s="365">
        <f>286.5/T118</f>
        <v>99.134948096885807</v>
      </c>
      <c r="U61" s="366">
        <f>311.1/U118</f>
        <v>96.614906832298132</v>
      </c>
      <c r="V61" s="346">
        <f>419.9/V118</f>
        <v>101.2051096649795</v>
      </c>
      <c r="W61" s="367">
        <f>188.4/W118</f>
        <v>98.690413829229968</v>
      </c>
      <c r="X61" s="365">
        <f>213.7/X118</f>
        <v>97.313296903460824</v>
      </c>
      <c r="Y61" s="368">
        <f>195.1/Y118</f>
        <v>97.941767068273094</v>
      </c>
      <c r="Z61" s="369">
        <f>409.4/Z118</f>
        <v>96.556603773584897</v>
      </c>
      <c r="AA61" s="286">
        <f>411.1/AA118</f>
        <v>97.764565992865641</v>
      </c>
      <c r="AB61" s="244"/>
      <c r="AC61" s="263"/>
    </row>
    <row r="62" spans="1:29" ht="18" customHeight="1" x14ac:dyDescent="0.3">
      <c r="A62" s="244"/>
      <c r="B62" s="231">
        <v>1</v>
      </c>
      <c r="C62" s="228">
        <v>2012</v>
      </c>
      <c r="D62" s="292">
        <v>95.2</v>
      </c>
      <c r="E62" s="293">
        <v>95</v>
      </c>
      <c r="F62" s="294">
        <v>94.2</v>
      </c>
      <c r="G62" s="295">
        <v>95.6</v>
      </c>
      <c r="H62" s="292">
        <v>95.4</v>
      </c>
      <c r="I62" s="296">
        <v>95</v>
      </c>
      <c r="J62" s="297">
        <v>94.9</v>
      </c>
      <c r="K62" s="294">
        <v>95</v>
      </c>
      <c r="L62" s="292">
        <v>94.6</v>
      </c>
      <c r="M62" s="296">
        <v>95.6</v>
      </c>
      <c r="N62" s="298">
        <v>95.5</v>
      </c>
      <c r="O62" s="299">
        <v>95.1</v>
      </c>
      <c r="P62" s="292">
        <v>95.9</v>
      </c>
      <c r="Q62" s="299">
        <v>95.5</v>
      </c>
      <c r="R62" s="248"/>
      <c r="S62" s="351">
        <f>224.5/S118</f>
        <v>98.811619718309871</v>
      </c>
      <c r="T62" s="352">
        <f>287.7/T118</f>
        <v>99.550173010380618</v>
      </c>
      <c r="U62" s="353">
        <f>312/U118</f>
        <v>96.894409937888199</v>
      </c>
      <c r="V62" s="354">
        <f>409.3/V118</f>
        <v>98.650277175222953</v>
      </c>
      <c r="W62" s="355">
        <f>188.6/W118</f>
        <v>98.795180722891558</v>
      </c>
      <c r="X62" s="352">
        <f>213.7/X118</f>
        <v>97.313296903460824</v>
      </c>
      <c r="Y62" s="356">
        <f>194.9/Y118</f>
        <v>97.841365461847388</v>
      </c>
      <c r="Z62" s="357">
        <f>407.4/Z118</f>
        <v>96.084905660377345</v>
      </c>
      <c r="AA62" s="294">
        <f>402.7/AA118</f>
        <v>95.766944114149823</v>
      </c>
      <c r="AB62" s="244"/>
      <c r="AC62" s="263"/>
    </row>
    <row r="63" spans="1:29" ht="18" customHeight="1" x14ac:dyDescent="0.3">
      <c r="A63" s="244"/>
      <c r="B63" s="229">
        <v>2</v>
      </c>
      <c r="C63" s="230">
        <v>2012</v>
      </c>
      <c r="D63" s="276">
        <v>95.6</v>
      </c>
      <c r="E63" s="277">
        <v>95.4</v>
      </c>
      <c r="F63" s="278">
        <v>95</v>
      </c>
      <c r="G63" s="279">
        <v>96.1</v>
      </c>
      <c r="H63" s="276">
        <v>96.1</v>
      </c>
      <c r="I63" s="280">
        <v>95.5</v>
      </c>
      <c r="J63" s="281">
        <v>95.5</v>
      </c>
      <c r="K63" s="278">
        <v>95.6</v>
      </c>
      <c r="L63" s="276">
        <v>95.6</v>
      </c>
      <c r="M63" s="280">
        <v>96.1</v>
      </c>
      <c r="N63" s="282">
        <v>96.1</v>
      </c>
      <c r="O63" s="283">
        <v>95.7</v>
      </c>
      <c r="P63" s="276">
        <v>96.5</v>
      </c>
      <c r="Q63" s="283">
        <v>96.1</v>
      </c>
      <c r="R63" s="248"/>
      <c r="S63" s="358">
        <f>226.6/S118</f>
        <v>99.735915492957758</v>
      </c>
      <c r="T63" s="359">
        <f>290.5/T118</f>
        <v>100.51903114186851</v>
      </c>
      <c r="U63" s="360">
        <f>318/U118</f>
        <v>98.757763975155271</v>
      </c>
      <c r="V63" s="336">
        <f>409/V118</f>
        <v>98.577970595324174</v>
      </c>
      <c r="W63" s="361">
        <f>189.4/W118</f>
        <v>99.214248297537978</v>
      </c>
      <c r="X63" s="359">
        <f>214.7/X118</f>
        <v>97.768670309653899</v>
      </c>
      <c r="Y63" s="362">
        <f>195.3/Y118</f>
        <v>98.0421686746988</v>
      </c>
      <c r="Z63" s="371">
        <f>407.4/Z118</f>
        <v>96.084905660377345</v>
      </c>
      <c r="AA63" s="302">
        <f>402.3/AA118</f>
        <v>95.671819262782407</v>
      </c>
      <c r="AB63" s="244"/>
      <c r="AC63" s="263"/>
    </row>
    <row r="64" spans="1:29" ht="18" customHeight="1" x14ac:dyDescent="0.3">
      <c r="A64" s="244"/>
      <c r="B64" s="229">
        <v>3</v>
      </c>
      <c r="C64" s="230">
        <v>2012</v>
      </c>
      <c r="D64" s="276">
        <v>96.7</v>
      </c>
      <c r="E64" s="277">
        <v>96.5</v>
      </c>
      <c r="F64" s="278">
        <v>96.7</v>
      </c>
      <c r="G64" s="279">
        <v>96.9</v>
      </c>
      <c r="H64" s="276">
        <v>97.1</v>
      </c>
      <c r="I64" s="280">
        <v>96.6</v>
      </c>
      <c r="J64" s="281">
        <v>96.3</v>
      </c>
      <c r="K64" s="278">
        <v>96.7</v>
      </c>
      <c r="L64" s="276">
        <v>97</v>
      </c>
      <c r="M64" s="280">
        <v>97.2</v>
      </c>
      <c r="N64" s="282">
        <v>97</v>
      </c>
      <c r="O64" s="283">
        <v>96.5</v>
      </c>
      <c r="P64" s="276">
        <v>97.2</v>
      </c>
      <c r="Q64" s="283">
        <v>97</v>
      </c>
      <c r="R64" s="248"/>
      <c r="S64" s="358">
        <f>228.2/S118</f>
        <v>100.44014084507043</v>
      </c>
      <c r="T64" s="359">
        <f>290.5/T118</f>
        <v>100.51903114186851</v>
      </c>
      <c r="U64" s="360">
        <f>317.3/U118</f>
        <v>98.540372670807457</v>
      </c>
      <c r="V64" s="336">
        <f>414.2/V118</f>
        <v>99.831284646902859</v>
      </c>
      <c r="W64" s="361">
        <f>188.2/W118</f>
        <v>98.585646935568349</v>
      </c>
      <c r="X64" s="359">
        <f>214.4/X118</f>
        <v>97.632058287795985</v>
      </c>
      <c r="Y64" s="362">
        <f>194.8/Y118</f>
        <v>97.791164658634543</v>
      </c>
      <c r="Z64" s="371">
        <f>411.4/Z118</f>
        <v>97.028301886792448</v>
      </c>
      <c r="AA64" s="302">
        <f>406.7/AA118</f>
        <v>96.71819262782401</v>
      </c>
      <c r="AB64" s="244"/>
      <c r="AC64" s="263"/>
    </row>
    <row r="65" spans="1:48" ht="18" customHeight="1" x14ac:dyDescent="0.3">
      <c r="A65" s="244"/>
      <c r="B65" s="229">
        <v>4</v>
      </c>
      <c r="C65" s="230">
        <v>2012</v>
      </c>
      <c r="D65" s="276">
        <v>97.1</v>
      </c>
      <c r="E65" s="277">
        <v>96.9</v>
      </c>
      <c r="F65" s="278">
        <v>97.2</v>
      </c>
      <c r="G65" s="279">
        <v>97.1</v>
      </c>
      <c r="H65" s="276">
        <v>97.5</v>
      </c>
      <c r="I65" s="280">
        <v>97.1</v>
      </c>
      <c r="J65" s="281">
        <v>96.6</v>
      </c>
      <c r="K65" s="278">
        <v>97.1</v>
      </c>
      <c r="L65" s="276">
        <v>97.3</v>
      </c>
      <c r="M65" s="280">
        <v>97.6</v>
      </c>
      <c r="N65" s="282">
        <v>97.4</v>
      </c>
      <c r="O65" s="283">
        <v>96.9</v>
      </c>
      <c r="P65" s="276">
        <v>97.7</v>
      </c>
      <c r="Q65" s="283">
        <v>97.4</v>
      </c>
      <c r="R65" s="248"/>
      <c r="S65" s="358">
        <f>227.9/S118</f>
        <v>100.30809859154931</v>
      </c>
      <c r="T65" s="359">
        <f>290.4/T118</f>
        <v>100.48442906574394</v>
      </c>
      <c r="U65" s="360">
        <f>317.1/U118</f>
        <v>98.478260869565219</v>
      </c>
      <c r="V65" s="336">
        <f>422.2/V118</f>
        <v>101.75946011087008</v>
      </c>
      <c r="W65" s="361">
        <f>188.6/W118</f>
        <v>98.795180722891558</v>
      </c>
      <c r="X65" s="359">
        <f>218/X118</f>
        <v>99.271402550091068</v>
      </c>
      <c r="Y65" s="362">
        <f>198.6/Y118</f>
        <v>99.698795180722882</v>
      </c>
      <c r="Z65" s="371">
        <f>431.6/Z118</f>
        <v>101.79245283018868</v>
      </c>
      <c r="AA65" s="302">
        <f>425.5/AA118</f>
        <v>101.18906064209274</v>
      </c>
      <c r="AB65" s="244"/>
      <c r="AC65" s="263"/>
    </row>
    <row r="66" spans="1:48" ht="18" customHeight="1" x14ac:dyDescent="0.3">
      <c r="A66" s="244"/>
      <c r="B66" s="229">
        <v>5</v>
      </c>
      <c r="C66" s="230">
        <v>2012</v>
      </c>
      <c r="D66" s="276">
        <v>97.3</v>
      </c>
      <c r="E66" s="277">
        <v>97.1</v>
      </c>
      <c r="F66" s="278">
        <v>97.4</v>
      </c>
      <c r="G66" s="279">
        <v>97.1</v>
      </c>
      <c r="H66" s="276">
        <v>97.4</v>
      </c>
      <c r="I66" s="280">
        <v>97.2</v>
      </c>
      <c r="J66" s="281">
        <v>96.9</v>
      </c>
      <c r="K66" s="278">
        <v>97.2</v>
      </c>
      <c r="L66" s="276">
        <v>97.4</v>
      </c>
      <c r="M66" s="280">
        <v>97.7</v>
      </c>
      <c r="N66" s="282">
        <v>97.4</v>
      </c>
      <c r="O66" s="283">
        <v>97</v>
      </c>
      <c r="P66" s="276">
        <v>97.6</v>
      </c>
      <c r="Q66" s="283">
        <v>97.4</v>
      </c>
      <c r="R66" s="248"/>
      <c r="S66" s="358">
        <f>226.9/S118</f>
        <v>99.867957746478879</v>
      </c>
      <c r="T66" s="359">
        <f>288.9/T118</f>
        <v>99.965397923875415</v>
      </c>
      <c r="U66" s="360">
        <f>323/U118</f>
        <v>100.31055900621118</v>
      </c>
      <c r="V66" s="336">
        <f>426.6/V118</f>
        <v>102.81995661605207</v>
      </c>
      <c r="W66" s="361">
        <f>190.3/W118</f>
        <v>99.6856993190152</v>
      </c>
      <c r="X66" s="359">
        <f>218.8/X118</f>
        <v>99.635701275045534</v>
      </c>
      <c r="Y66" s="362">
        <f>199.4/Y118</f>
        <v>100.10040160642571</v>
      </c>
      <c r="Z66" s="371">
        <f>435.6/Z118</f>
        <v>102.73584905660377</v>
      </c>
      <c r="AA66" s="302">
        <f>429.5/AA118</f>
        <v>102.14030915576694</v>
      </c>
      <c r="AB66" s="244"/>
      <c r="AC66" s="263"/>
    </row>
    <row r="67" spans="1:48" ht="18" customHeight="1" x14ac:dyDescent="0.3">
      <c r="A67" s="244"/>
      <c r="B67" s="229">
        <v>6</v>
      </c>
      <c r="C67" s="230">
        <v>2012</v>
      </c>
      <c r="D67" s="276">
        <v>97.5</v>
      </c>
      <c r="E67" s="277">
        <v>97.5</v>
      </c>
      <c r="F67" s="278">
        <v>97.6</v>
      </c>
      <c r="G67" s="279">
        <v>97.1</v>
      </c>
      <c r="H67" s="276">
        <v>97.4</v>
      </c>
      <c r="I67" s="280">
        <v>97.4</v>
      </c>
      <c r="J67" s="281">
        <v>97.6</v>
      </c>
      <c r="K67" s="278">
        <v>97.4</v>
      </c>
      <c r="L67" s="276">
        <v>97.4</v>
      </c>
      <c r="M67" s="280">
        <v>97.6</v>
      </c>
      <c r="N67" s="282">
        <v>97.9</v>
      </c>
      <c r="O67" s="283">
        <v>97.4</v>
      </c>
      <c r="P67" s="276">
        <v>97.8</v>
      </c>
      <c r="Q67" s="283">
        <v>97.2</v>
      </c>
      <c r="R67" s="248"/>
      <c r="S67" s="358">
        <f>226.8/S118</f>
        <v>99.823943661971839</v>
      </c>
      <c r="T67" s="359">
        <f>289.1/T118</f>
        <v>100.03460207612457</v>
      </c>
      <c r="U67" s="360">
        <f>324/U118</f>
        <v>100.62111801242236</v>
      </c>
      <c r="V67" s="336">
        <f>410.3/V118</f>
        <v>98.891299108218846</v>
      </c>
      <c r="W67" s="361">
        <f>190.8/W118</f>
        <v>99.947616553169198</v>
      </c>
      <c r="X67" s="359">
        <f>219.1/X118</f>
        <v>99.772313296903448</v>
      </c>
      <c r="Y67" s="362">
        <f>199.9/Y118</f>
        <v>100.35140562248996</v>
      </c>
      <c r="Z67" s="371">
        <f>425.7/Z118</f>
        <v>100.40094339622641</v>
      </c>
      <c r="AA67" s="302">
        <f>421.1/AA118</f>
        <v>100.14268727705114</v>
      </c>
      <c r="AB67" s="244"/>
      <c r="AC67" s="263"/>
    </row>
    <row r="68" spans="1:48" ht="18" customHeight="1" x14ac:dyDescent="0.3">
      <c r="A68" s="244"/>
      <c r="B68" s="229">
        <v>7</v>
      </c>
      <c r="C68" s="230">
        <v>2012</v>
      </c>
      <c r="D68" s="276">
        <v>97.9</v>
      </c>
      <c r="E68" s="277">
        <v>98</v>
      </c>
      <c r="F68" s="278">
        <v>97.9</v>
      </c>
      <c r="G68" s="279">
        <v>98.1</v>
      </c>
      <c r="H68" s="276">
        <v>97.7</v>
      </c>
      <c r="I68" s="280">
        <v>97.6</v>
      </c>
      <c r="J68" s="281">
        <v>97.9</v>
      </c>
      <c r="K68" s="278">
        <v>97.8</v>
      </c>
      <c r="L68" s="276">
        <v>97.7</v>
      </c>
      <c r="M68" s="280">
        <v>98</v>
      </c>
      <c r="N68" s="282">
        <v>98.2</v>
      </c>
      <c r="O68" s="283">
        <v>97.7</v>
      </c>
      <c r="P68" s="276">
        <v>98.3</v>
      </c>
      <c r="Q68" s="283">
        <v>97.7</v>
      </c>
      <c r="R68" s="248"/>
      <c r="S68" s="358">
        <f>227.1/S118</f>
        <v>99.95598591549296</v>
      </c>
      <c r="T68" s="359">
        <f>289.9/T118</f>
        <v>100.3114186851211</v>
      </c>
      <c r="U68" s="360">
        <f>325.3/U118</f>
        <v>101.02484472049689</v>
      </c>
      <c r="V68" s="336">
        <f>378.6/V118</f>
        <v>91.250903832248738</v>
      </c>
      <c r="W68" s="361">
        <f>191/W118</f>
        <v>100.0523834468308</v>
      </c>
      <c r="X68" s="359">
        <f>220.2/X118</f>
        <v>100.27322404371583</v>
      </c>
      <c r="Y68" s="362">
        <f>200/Y118</f>
        <v>100.40160642570281</v>
      </c>
      <c r="Z68" s="371">
        <f>401.1/Z118</f>
        <v>94.59905660377359</v>
      </c>
      <c r="AA68" s="302">
        <f>394.3/AA118</f>
        <v>93.769322235434004</v>
      </c>
      <c r="AB68" s="244"/>
      <c r="AC68" s="263"/>
    </row>
    <row r="69" spans="1:48" ht="18" customHeight="1" x14ac:dyDescent="0.3">
      <c r="A69" s="244"/>
      <c r="B69" s="229">
        <v>8</v>
      </c>
      <c r="C69" s="230">
        <v>2012</v>
      </c>
      <c r="D69" s="276">
        <v>98</v>
      </c>
      <c r="E69" s="277">
        <v>98.2</v>
      </c>
      <c r="F69" s="278">
        <v>98</v>
      </c>
      <c r="G69" s="279">
        <v>98.3</v>
      </c>
      <c r="H69" s="276">
        <v>98</v>
      </c>
      <c r="I69" s="280">
        <v>97.8</v>
      </c>
      <c r="J69" s="281">
        <v>98</v>
      </c>
      <c r="K69" s="278">
        <v>97.9</v>
      </c>
      <c r="L69" s="276">
        <v>98</v>
      </c>
      <c r="M69" s="280">
        <v>98.2</v>
      </c>
      <c r="N69" s="282">
        <v>98.4</v>
      </c>
      <c r="O69" s="283">
        <v>98</v>
      </c>
      <c r="P69" s="276">
        <v>98.3</v>
      </c>
      <c r="Q69" s="283">
        <v>97.9</v>
      </c>
      <c r="R69" s="248"/>
      <c r="S69" s="358">
        <f>227.9/S118</f>
        <v>100.30809859154931</v>
      </c>
      <c r="T69" s="359">
        <f>290/T118</f>
        <v>100.34602076124567</v>
      </c>
      <c r="U69" s="360">
        <f>324.2/U118</f>
        <v>100.68322981366458</v>
      </c>
      <c r="V69" s="336">
        <f>388/V118</f>
        <v>93.516510002410214</v>
      </c>
      <c r="W69" s="361">
        <f>191.5/W118</f>
        <v>100.3143006809848</v>
      </c>
      <c r="X69" s="359">
        <f>219.1/X118</f>
        <v>99.772313296903448</v>
      </c>
      <c r="Y69" s="362">
        <f>200.5/Y118</f>
        <v>100.65261044176707</v>
      </c>
      <c r="Z69" s="371">
        <f>406.6/Z118</f>
        <v>95.896226415094347</v>
      </c>
      <c r="AA69" s="302">
        <f>399.9/AA118</f>
        <v>95.101070154577883</v>
      </c>
      <c r="AB69" s="244"/>
      <c r="AC69" s="263"/>
    </row>
    <row r="70" spans="1:48" ht="18" customHeight="1" x14ac:dyDescent="0.3">
      <c r="A70" s="244"/>
      <c r="B70" s="229">
        <v>9</v>
      </c>
      <c r="C70" s="230">
        <v>2012</v>
      </c>
      <c r="D70" s="276">
        <v>98.9</v>
      </c>
      <c r="E70" s="277">
        <v>98.8</v>
      </c>
      <c r="F70" s="278">
        <v>98.8</v>
      </c>
      <c r="G70" s="279">
        <v>99.2</v>
      </c>
      <c r="H70" s="276">
        <v>98.8</v>
      </c>
      <c r="I70" s="280">
        <v>98.7</v>
      </c>
      <c r="J70" s="281">
        <v>98.9</v>
      </c>
      <c r="K70" s="278">
        <v>98.8</v>
      </c>
      <c r="L70" s="276">
        <v>99.1</v>
      </c>
      <c r="M70" s="280">
        <v>99</v>
      </c>
      <c r="N70" s="282">
        <v>99.1</v>
      </c>
      <c r="O70" s="283">
        <v>98.8</v>
      </c>
      <c r="P70" s="276">
        <v>99.2</v>
      </c>
      <c r="Q70" s="283">
        <v>99</v>
      </c>
      <c r="R70" s="248"/>
      <c r="S70" s="358">
        <f>227.5/S118</f>
        <v>100.13204225352113</v>
      </c>
      <c r="T70" s="359">
        <f>289.8/T118</f>
        <v>100.27681660899654</v>
      </c>
      <c r="U70" s="360">
        <f>323.5/U118</f>
        <v>100.46583850931677</v>
      </c>
      <c r="V70" s="336">
        <f>412.7/V118</f>
        <v>99.469751747409006</v>
      </c>
      <c r="W70" s="361">
        <f>192.5/W118</f>
        <v>100.83813514929282</v>
      </c>
      <c r="X70" s="359">
        <f>223.2/X118</f>
        <v>101.63934426229507</v>
      </c>
      <c r="Y70" s="362">
        <f>200.6/Y118</f>
        <v>100.70281124497991</v>
      </c>
      <c r="Z70" s="371">
        <f>434/Z118</f>
        <v>102.35849056603773</v>
      </c>
      <c r="AA70" s="302">
        <f>427.5/AA118</f>
        <v>101.66468489892985</v>
      </c>
      <c r="AB70" s="244"/>
      <c r="AC70" s="263"/>
    </row>
    <row r="71" spans="1:48" ht="18" customHeight="1" x14ac:dyDescent="0.3">
      <c r="A71" s="244"/>
      <c r="B71" s="229">
        <v>10</v>
      </c>
      <c r="C71" s="230">
        <v>2012</v>
      </c>
      <c r="D71" s="276">
        <v>99.4</v>
      </c>
      <c r="E71" s="277">
        <v>99.4</v>
      </c>
      <c r="F71" s="278">
        <v>99.4</v>
      </c>
      <c r="G71" s="279">
        <v>99.7</v>
      </c>
      <c r="H71" s="276">
        <v>99.5</v>
      </c>
      <c r="I71" s="280">
        <v>99.4</v>
      </c>
      <c r="J71" s="281">
        <v>99.5</v>
      </c>
      <c r="K71" s="278">
        <v>99.4</v>
      </c>
      <c r="L71" s="276">
        <v>99.7</v>
      </c>
      <c r="M71" s="280">
        <v>99.6</v>
      </c>
      <c r="N71" s="282">
        <v>99.7</v>
      </c>
      <c r="O71" s="283">
        <v>99.6</v>
      </c>
      <c r="P71" s="276">
        <v>99.6</v>
      </c>
      <c r="Q71" s="283">
        <v>99.6</v>
      </c>
      <c r="R71" s="248"/>
      <c r="S71" s="358">
        <f>226.8/S118</f>
        <v>99.823943661971839</v>
      </c>
      <c r="T71" s="359">
        <f>285.9/T118</f>
        <v>98.927335640138395</v>
      </c>
      <c r="U71" s="360">
        <f>324/U118</f>
        <v>100.62111801242236</v>
      </c>
      <c r="V71" s="336">
        <f>433/V118</f>
        <v>104.36249698722584</v>
      </c>
      <c r="W71" s="361">
        <f>192.5/W118</f>
        <v>100.83813514929282</v>
      </c>
      <c r="X71" s="359">
        <f>224.1/X118</f>
        <v>102.04918032786884</v>
      </c>
      <c r="Y71" s="362">
        <f>201.4/Y118</f>
        <v>101.10441767068274</v>
      </c>
      <c r="Z71" s="371">
        <f>436.4/Z118</f>
        <v>102.92452830188678</v>
      </c>
      <c r="AA71" s="302">
        <f>443.5/AA118</f>
        <v>105.46967895362663</v>
      </c>
      <c r="AB71" s="244"/>
      <c r="AC71" s="263"/>
    </row>
    <row r="72" spans="1:48" ht="18" customHeight="1" x14ac:dyDescent="0.3">
      <c r="A72" s="244"/>
      <c r="B72" s="229">
        <v>11</v>
      </c>
      <c r="C72" s="230">
        <v>2012</v>
      </c>
      <c r="D72" s="276">
        <v>99.6</v>
      </c>
      <c r="E72" s="277">
        <v>99.8</v>
      </c>
      <c r="F72" s="278">
        <v>99.6</v>
      </c>
      <c r="G72" s="279">
        <v>100</v>
      </c>
      <c r="H72" s="276">
        <v>99.8</v>
      </c>
      <c r="I72" s="280">
        <v>99.6</v>
      </c>
      <c r="J72" s="281">
        <v>99.7</v>
      </c>
      <c r="K72" s="278">
        <v>99.7</v>
      </c>
      <c r="L72" s="276">
        <v>99.8</v>
      </c>
      <c r="M72" s="280">
        <v>99.8</v>
      </c>
      <c r="N72" s="282">
        <v>99.9</v>
      </c>
      <c r="O72" s="283">
        <v>99.8</v>
      </c>
      <c r="P72" s="276">
        <v>99.8</v>
      </c>
      <c r="Q72" s="283">
        <v>99.8</v>
      </c>
      <c r="R72" s="248"/>
      <c r="S72" s="358">
        <f>227.5/S118</f>
        <v>100.13204225352113</v>
      </c>
      <c r="T72" s="359">
        <f>285.9/T118</f>
        <v>98.927335640138395</v>
      </c>
      <c r="U72" s="360">
        <f>326.4/U118</f>
        <v>101.36645962732918</v>
      </c>
      <c r="V72" s="336">
        <f>439.3/V118</f>
        <v>105.88093516510003</v>
      </c>
      <c r="W72" s="361">
        <f>193.2/W118</f>
        <v>101.20481927710843</v>
      </c>
      <c r="X72" s="359">
        <f>225.1/X118</f>
        <v>102.50455373406191</v>
      </c>
      <c r="Y72" s="362">
        <f>202.1/Y118</f>
        <v>101.45582329317268</v>
      </c>
      <c r="Z72" s="371">
        <f>446.3/Z118</f>
        <v>105.25943396226415</v>
      </c>
      <c r="AA72" s="302">
        <f>447.5/AA118</f>
        <v>106.42092746730083</v>
      </c>
      <c r="AB72" s="244"/>
      <c r="AC72" s="263"/>
      <c r="AL72" s="497" t="s">
        <v>103</v>
      </c>
      <c r="AM72" s="497"/>
      <c r="AN72" s="497"/>
      <c r="AP72" s="497" t="s">
        <v>102</v>
      </c>
      <c r="AQ72" s="497"/>
      <c r="AR72" s="497"/>
      <c r="AT72" s="497" t="s">
        <v>104</v>
      </c>
      <c r="AU72" s="497"/>
      <c r="AV72" s="497"/>
    </row>
    <row r="73" spans="1:48" ht="18" customHeight="1" thickBot="1" x14ac:dyDescent="0.35">
      <c r="A73" s="244"/>
      <c r="B73" s="232">
        <v>12</v>
      </c>
      <c r="C73" s="233">
        <v>2012</v>
      </c>
      <c r="D73" s="284">
        <v>100</v>
      </c>
      <c r="E73" s="285">
        <v>100</v>
      </c>
      <c r="F73" s="286">
        <v>100</v>
      </c>
      <c r="G73" s="287">
        <v>100</v>
      </c>
      <c r="H73" s="284">
        <v>100</v>
      </c>
      <c r="I73" s="288">
        <v>100</v>
      </c>
      <c r="J73" s="289">
        <v>100</v>
      </c>
      <c r="K73" s="286">
        <v>100</v>
      </c>
      <c r="L73" s="284">
        <v>100</v>
      </c>
      <c r="M73" s="288">
        <v>100</v>
      </c>
      <c r="N73" s="290">
        <v>100</v>
      </c>
      <c r="O73" s="291">
        <v>100</v>
      </c>
      <c r="P73" s="284">
        <v>100</v>
      </c>
      <c r="Q73" s="291">
        <v>100</v>
      </c>
      <c r="R73" s="248"/>
      <c r="S73" s="400">
        <f>228.2/S118</f>
        <v>100.44014084507043</v>
      </c>
      <c r="T73" s="401">
        <f>289/T118</f>
        <v>100</v>
      </c>
      <c r="U73" s="402">
        <f>329.3/U118</f>
        <v>102.26708074534162</v>
      </c>
      <c r="V73" s="403">
        <f>435.9/V118</f>
        <v>105.06146059291395</v>
      </c>
      <c r="W73" s="404">
        <f>193.7/W118</f>
        <v>101.46673651126244</v>
      </c>
      <c r="X73" s="401">
        <f>225.3/X118</f>
        <v>102.59562841530054</v>
      </c>
      <c r="Y73" s="405">
        <f>202.6/Y118</f>
        <v>101.70682730923694</v>
      </c>
      <c r="Z73" s="406">
        <f>444.4/Z118</f>
        <v>104.81132075471697</v>
      </c>
      <c r="AA73" s="407">
        <f>445.5/AA118</f>
        <v>105.94530321046373</v>
      </c>
      <c r="AB73" s="244"/>
      <c r="AC73" s="408" t="s">
        <v>96</v>
      </c>
      <c r="AL73" s="196" t="s">
        <v>72</v>
      </c>
      <c r="AM73" s="196" t="s">
        <v>100</v>
      </c>
      <c r="AN73" s="196" t="s">
        <v>101</v>
      </c>
      <c r="AP73" s="196" t="s">
        <v>72</v>
      </c>
      <c r="AQ73" s="196" t="s">
        <v>100</v>
      </c>
      <c r="AR73" s="196" t="s">
        <v>101</v>
      </c>
      <c r="AT73" s="196" t="s">
        <v>72</v>
      </c>
      <c r="AU73" s="196" t="s">
        <v>100</v>
      </c>
      <c r="AV73" s="196" t="s">
        <v>101</v>
      </c>
    </row>
    <row r="74" spans="1:48" ht="18" customHeight="1" thickTop="1" x14ac:dyDescent="0.3">
      <c r="A74" s="244"/>
      <c r="B74" s="227">
        <v>1</v>
      </c>
      <c r="C74" s="228">
        <v>2013</v>
      </c>
      <c r="D74" s="292">
        <v>100.2</v>
      </c>
      <c r="E74" s="293">
        <v>100.1</v>
      </c>
      <c r="F74" s="294">
        <v>100.3</v>
      </c>
      <c r="G74" s="295">
        <v>100.5</v>
      </c>
      <c r="H74" s="292">
        <v>100.4</v>
      </c>
      <c r="I74" s="296">
        <v>100.1</v>
      </c>
      <c r="J74" s="297">
        <v>100.5</v>
      </c>
      <c r="K74" s="294">
        <v>100.1</v>
      </c>
      <c r="L74" s="292">
        <v>100.2</v>
      </c>
      <c r="M74" s="296">
        <v>100.3</v>
      </c>
      <c r="N74" s="298">
        <v>100.4</v>
      </c>
      <c r="O74" s="299">
        <v>100.4</v>
      </c>
      <c r="P74" s="292">
        <v>100.4</v>
      </c>
      <c r="Q74" s="299">
        <v>100.5</v>
      </c>
      <c r="R74" s="248"/>
      <c r="S74" s="395">
        <v>101.8</v>
      </c>
      <c r="T74" s="396">
        <v>103.2</v>
      </c>
      <c r="U74" s="397">
        <v>104.4</v>
      </c>
      <c r="V74" s="327">
        <v>103</v>
      </c>
      <c r="W74" s="398">
        <v>102.3</v>
      </c>
      <c r="X74" s="396">
        <v>103.1</v>
      </c>
      <c r="Y74" s="397">
        <v>102.4</v>
      </c>
      <c r="Z74" s="399">
        <v>102.2</v>
      </c>
      <c r="AA74" s="270">
        <v>103.4</v>
      </c>
      <c r="AB74" s="244"/>
      <c r="AC74" s="263" t="s">
        <v>95</v>
      </c>
      <c r="AE74" s="410"/>
      <c r="AF74" s="411"/>
      <c r="AH74" s="411"/>
      <c r="AJ74" s="411"/>
      <c r="AL74" s="412"/>
      <c r="AM74" s="411"/>
      <c r="AN74" s="411"/>
      <c r="AP74" s="412"/>
      <c r="AQ74" s="411"/>
      <c r="AR74" s="411"/>
      <c r="AT74" s="412"/>
      <c r="AU74" s="411"/>
      <c r="AV74" s="411"/>
    </row>
    <row r="75" spans="1:48" ht="18" customHeight="1" x14ac:dyDescent="0.3">
      <c r="A75" s="244"/>
      <c r="B75" s="229">
        <v>2</v>
      </c>
      <c r="C75" s="230">
        <v>2013</v>
      </c>
      <c r="D75" s="276">
        <v>100.8</v>
      </c>
      <c r="E75" s="277">
        <v>101.2</v>
      </c>
      <c r="F75" s="278">
        <v>101.3</v>
      </c>
      <c r="G75" s="279">
        <v>100.9</v>
      </c>
      <c r="H75" s="276">
        <v>101.2</v>
      </c>
      <c r="I75" s="280">
        <v>101.2</v>
      </c>
      <c r="J75" s="281">
        <v>102</v>
      </c>
      <c r="K75" s="278">
        <v>101.3</v>
      </c>
      <c r="L75" s="276">
        <v>101.2</v>
      </c>
      <c r="M75" s="280">
        <v>101.7</v>
      </c>
      <c r="N75" s="282">
        <v>101.8</v>
      </c>
      <c r="O75" s="283">
        <v>101.5</v>
      </c>
      <c r="P75" s="276">
        <v>101.4</v>
      </c>
      <c r="Q75" s="283">
        <v>101.3</v>
      </c>
      <c r="R75" s="248"/>
      <c r="S75" s="358">
        <v>102.2</v>
      </c>
      <c r="T75" s="359">
        <v>104.8</v>
      </c>
      <c r="U75" s="360">
        <v>105.1</v>
      </c>
      <c r="V75" s="336">
        <v>104.3</v>
      </c>
      <c r="W75" s="361">
        <v>102.5</v>
      </c>
      <c r="X75" s="359">
        <v>103.1</v>
      </c>
      <c r="Y75" s="360">
        <v>102.4</v>
      </c>
      <c r="Z75" s="363">
        <v>103.9</v>
      </c>
      <c r="AA75" s="278">
        <v>105</v>
      </c>
      <c r="AB75" s="244"/>
      <c r="AC75" s="263"/>
      <c r="AE75" s="410"/>
      <c r="AF75" s="411"/>
      <c r="AH75" s="411"/>
      <c r="AJ75" s="411"/>
      <c r="AL75" s="412"/>
      <c r="AM75" s="411"/>
      <c r="AN75" s="411"/>
      <c r="AP75" s="412"/>
      <c r="AQ75" s="411"/>
      <c r="AR75" s="411"/>
      <c r="AT75" s="412"/>
      <c r="AU75" s="411"/>
      <c r="AV75" s="411"/>
    </row>
    <row r="76" spans="1:48" ht="18" customHeight="1" x14ac:dyDescent="0.3">
      <c r="A76" s="244"/>
      <c r="B76" s="229">
        <v>3</v>
      </c>
      <c r="C76" s="230">
        <v>2013</v>
      </c>
      <c r="D76" s="276">
        <v>102.2</v>
      </c>
      <c r="E76" s="277">
        <v>102</v>
      </c>
      <c r="F76" s="278">
        <v>102.4</v>
      </c>
      <c r="G76" s="279">
        <v>101.8</v>
      </c>
      <c r="H76" s="276">
        <v>102.4</v>
      </c>
      <c r="I76" s="280">
        <v>102.8</v>
      </c>
      <c r="J76" s="281">
        <v>102.9</v>
      </c>
      <c r="K76" s="278">
        <v>102.6</v>
      </c>
      <c r="L76" s="276">
        <v>102.4</v>
      </c>
      <c r="M76" s="280">
        <v>103.2</v>
      </c>
      <c r="N76" s="282">
        <v>103</v>
      </c>
      <c r="O76" s="283">
        <v>102.6</v>
      </c>
      <c r="P76" s="276">
        <v>102.1</v>
      </c>
      <c r="Q76" s="283">
        <v>102.8</v>
      </c>
      <c r="R76" s="248"/>
      <c r="S76" s="358">
        <v>103.1</v>
      </c>
      <c r="T76" s="359">
        <v>104.5</v>
      </c>
      <c r="U76" s="360">
        <v>104.9</v>
      </c>
      <c r="V76" s="336">
        <v>108.6</v>
      </c>
      <c r="W76" s="361">
        <v>103.6</v>
      </c>
      <c r="X76" s="359">
        <v>103.5</v>
      </c>
      <c r="Y76" s="360">
        <v>103.6</v>
      </c>
      <c r="Z76" s="363">
        <v>109.3</v>
      </c>
      <c r="AA76" s="278">
        <v>110.6</v>
      </c>
      <c r="AB76" s="244"/>
      <c r="AC76" s="263"/>
      <c r="AE76" s="410"/>
      <c r="AF76" s="411"/>
      <c r="AH76" s="411"/>
      <c r="AJ76" s="411"/>
      <c r="AL76" s="412"/>
      <c r="AM76" s="411"/>
      <c r="AN76" s="411"/>
      <c r="AP76" s="412"/>
      <c r="AQ76" s="411"/>
      <c r="AR76" s="411"/>
      <c r="AT76" s="412"/>
      <c r="AU76" s="411"/>
      <c r="AV76" s="411"/>
    </row>
    <row r="77" spans="1:48" ht="18" customHeight="1" x14ac:dyDescent="0.3">
      <c r="A77" s="244"/>
      <c r="B77" s="229">
        <v>4</v>
      </c>
      <c r="C77" s="230">
        <v>2013</v>
      </c>
      <c r="D77" s="276">
        <v>102.5</v>
      </c>
      <c r="E77" s="277">
        <v>102.2</v>
      </c>
      <c r="F77" s="278">
        <v>102.8</v>
      </c>
      <c r="G77" s="279">
        <v>102.1</v>
      </c>
      <c r="H77" s="276">
        <v>102.7</v>
      </c>
      <c r="I77" s="280">
        <v>102.9</v>
      </c>
      <c r="J77" s="281">
        <v>103</v>
      </c>
      <c r="K77" s="278">
        <v>102.9</v>
      </c>
      <c r="L77" s="276">
        <v>102.6</v>
      </c>
      <c r="M77" s="280">
        <v>103.6</v>
      </c>
      <c r="N77" s="282">
        <v>103.3</v>
      </c>
      <c r="O77" s="283">
        <v>102.9</v>
      </c>
      <c r="P77" s="276">
        <v>102.3</v>
      </c>
      <c r="Q77" s="283">
        <v>103</v>
      </c>
      <c r="R77" s="248"/>
      <c r="S77" s="358">
        <v>103.9</v>
      </c>
      <c r="T77" s="359">
        <v>106.3</v>
      </c>
      <c r="U77" s="360">
        <v>105.6</v>
      </c>
      <c r="V77" s="336">
        <v>104.7</v>
      </c>
      <c r="W77" s="361">
        <v>103.7</v>
      </c>
      <c r="X77" s="359">
        <v>103.6</v>
      </c>
      <c r="Y77" s="360">
        <v>103.6</v>
      </c>
      <c r="Z77" s="363">
        <v>104.3</v>
      </c>
      <c r="AA77" s="278">
        <v>105.3</v>
      </c>
      <c r="AB77" s="244"/>
      <c r="AC77" s="263"/>
      <c r="AE77" s="410"/>
      <c r="AF77" s="411"/>
      <c r="AH77" s="411"/>
      <c r="AJ77" s="411"/>
      <c r="AL77" s="412"/>
      <c r="AM77" s="411"/>
      <c r="AN77" s="411"/>
      <c r="AP77" s="412"/>
      <c r="AQ77" s="411"/>
      <c r="AR77" s="411"/>
      <c r="AT77" s="412"/>
      <c r="AU77" s="411"/>
      <c r="AV77" s="411"/>
    </row>
    <row r="78" spans="1:48" ht="18" customHeight="1" x14ac:dyDescent="0.3">
      <c r="A78" s="244"/>
      <c r="B78" s="223">
        <v>5</v>
      </c>
      <c r="C78" s="224">
        <v>2013</v>
      </c>
      <c r="D78" s="300">
        <v>102.2</v>
      </c>
      <c r="E78" s="301">
        <v>102.1</v>
      </c>
      <c r="F78" s="302">
        <v>102.5</v>
      </c>
      <c r="G78" s="303">
        <v>101.8</v>
      </c>
      <c r="H78" s="300">
        <v>102.6</v>
      </c>
      <c r="I78" s="304">
        <v>102.5</v>
      </c>
      <c r="J78" s="305">
        <v>102.5</v>
      </c>
      <c r="K78" s="302">
        <v>102.5</v>
      </c>
      <c r="L78" s="300">
        <v>102.5</v>
      </c>
      <c r="M78" s="304">
        <v>103.3</v>
      </c>
      <c r="N78" s="306">
        <v>102.9</v>
      </c>
      <c r="O78" s="307">
        <v>102.5</v>
      </c>
      <c r="P78" s="300">
        <v>102.1</v>
      </c>
      <c r="Q78" s="307">
        <v>103</v>
      </c>
      <c r="R78" s="248"/>
      <c r="S78" s="358">
        <v>104.2</v>
      </c>
      <c r="T78" s="359">
        <v>107.2</v>
      </c>
      <c r="U78" s="360">
        <v>107.1</v>
      </c>
      <c r="V78" s="336">
        <v>101.5</v>
      </c>
      <c r="W78" s="361">
        <v>104.5</v>
      </c>
      <c r="X78" s="359">
        <v>104.2</v>
      </c>
      <c r="Y78" s="360">
        <v>103.9</v>
      </c>
      <c r="Z78" s="363">
        <v>103.9</v>
      </c>
      <c r="AA78" s="278">
        <v>104.9</v>
      </c>
      <c r="AB78" s="244"/>
      <c r="AC78" s="263"/>
      <c r="AE78" s="410"/>
      <c r="AF78" s="411"/>
      <c r="AH78" s="411"/>
      <c r="AJ78" s="411"/>
      <c r="AL78" s="412"/>
      <c r="AM78" s="411"/>
      <c r="AN78" s="411"/>
      <c r="AP78" s="412"/>
      <c r="AQ78" s="411"/>
      <c r="AR78" s="411"/>
      <c r="AT78" s="412"/>
      <c r="AU78" s="411"/>
      <c r="AV78" s="411"/>
    </row>
    <row r="79" spans="1:48" ht="18" customHeight="1" x14ac:dyDescent="0.3">
      <c r="A79" s="244"/>
      <c r="B79" s="223">
        <v>6</v>
      </c>
      <c r="C79" s="224">
        <v>2013</v>
      </c>
      <c r="D79" s="300">
        <v>102.5</v>
      </c>
      <c r="E79" s="301">
        <v>102.5</v>
      </c>
      <c r="F79" s="302">
        <v>102.9</v>
      </c>
      <c r="G79" s="303">
        <v>101.9</v>
      </c>
      <c r="H79" s="300">
        <v>103.3</v>
      </c>
      <c r="I79" s="304">
        <v>102.9</v>
      </c>
      <c r="J79" s="305">
        <v>102.7</v>
      </c>
      <c r="K79" s="302">
        <v>102.8</v>
      </c>
      <c r="L79" s="300">
        <v>102.7</v>
      </c>
      <c r="M79" s="304">
        <v>103.8</v>
      </c>
      <c r="N79" s="306">
        <v>103.4</v>
      </c>
      <c r="O79" s="307">
        <v>102.9</v>
      </c>
      <c r="P79" s="300">
        <v>102.3</v>
      </c>
      <c r="Q79" s="307">
        <v>103.4</v>
      </c>
      <c r="R79" s="248"/>
      <c r="S79" s="358">
        <v>104.9</v>
      </c>
      <c r="T79" s="359">
        <v>107.3</v>
      </c>
      <c r="U79" s="360">
        <v>108.3</v>
      </c>
      <c r="V79" s="336">
        <v>103.2</v>
      </c>
      <c r="W79" s="361">
        <v>105.4</v>
      </c>
      <c r="X79" s="359">
        <v>104.6</v>
      </c>
      <c r="Y79" s="360">
        <v>104.7</v>
      </c>
      <c r="Z79" s="363">
        <v>111</v>
      </c>
      <c r="AA79" s="278">
        <v>112.4</v>
      </c>
      <c r="AB79" s="244"/>
      <c r="AC79" s="263"/>
      <c r="AE79" s="410"/>
      <c r="AF79" s="411"/>
      <c r="AH79" s="411"/>
      <c r="AJ79" s="411"/>
      <c r="AL79" s="412"/>
      <c r="AM79" s="411"/>
      <c r="AN79" s="411"/>
      <c r="AP79" s="412"/>
      <c r="AQ79" s="411"/>
      <c r="AR79" s="411"/>
      <c r="AT79" s="412"/>
      <c r="AU79" s="411"/>
      <c r="AV79" s="411"/>
    </row>
    <row r="80" spans="1:48" ht="18" customHeight="1" x14ac:dyDescent="0.3">
      <c r="A80" s="244"/>
      <c r="B80" s="223">
        <v>7</v>
      </c>
      <c r="C80" s="224">
        <v>2013</v>
      </c>
      <c r="D80" s="300">
        <v>103.4</v>
      </c>
      <c r="E80" s="301">
        <v>103.4</v>
      </c>
      <c r="F80" s="302">
        <v>104.9</v>
      </c>
      <c r="G80" s="303">
        <v>103.3</v>
      </c>
      <c r="H80" s="300">
        <v>104.3</v>
      </c>
      <c r="I80" s="304">
        <v>104.2</v>
      </c>
      <c r="J80" s="305">
        <v>104</v>
      </c>
      <c r="K80" s="302">
        <v>104.1</v>
      </c>
      <c r="L80" s="300">
        <v>103.8</v>
      </c>
      <c r="M80" s="304">
        <v>105</v>
      </c>
      <c r="N80" s="306">
        <v>104.3</v>
      </c>
      <c r="O80" s="307">
        <v>104</v>
      </c>
      <c r="P80" s="300">
        <v>103.2</v>
      </c>
      <c r="Q80" s="307">
        <v>104.3</v>
      </c>
      <c r="R80" s="248"/>
      <c r="S80" s="358">
        <v>105.4</v>
      </c>
      <c r="T80" s="359">
        <v>107.3</v>
      </c>
      <c r="U80" s="360">
        <v>109.4</v>
      </c>
      <c r="V80" s="336">
        <v>106.4</v>
      </c>
      <c r="W80" s="361">
        <v>107.1</v>
      </c>
      <c r="X80" s="359">
        <v>106.9</v>
      </c>
      <c r="Y80" s="360">
        <v>106.1</v>
      </c>
      <c r="Z80" s="363">
        <v>114.1</v>
      </c>
      <c r="AA80" s="278">
        <v>115.5</v>
      </c>
      <c r="AB80" s="244"/>
      <c r="AC80" s="263"/>
      <c r="AE80" s="410"/>
      <c r="AF80" s="411"/>
      <c r="AH80" s="411"/>
      <c r="AJ80" s="411"/>
      <c r="AL80" s="412"/>
      <c r="AM80" s="411"/>
      <c r="AN80" s="411"/>
      <c r="AP80" s="412"/>
      <c r="AQ80" s="411"/>
      <c r="AR80" s="411"/>
      <c r="AT80" s="412"/>
      <c r="AU80" s="411"/>
      <c r="AV80" s="411"/>
    </row>
    <row r="81" spans="1:48" ht="18" customHeight="1" x14ac:dyDescent="0.3">
      <c r="A81" s="244"/>
      <c r="B81" s="223">
        <v>8</v>
      </c>
      <c r="C81" s="224">
        <v>2013</v>
      </c>
      <c r="D81" s="300">
        <v>103.7</v>
      </c>
      <c r="E81" s="301">
        <v>103.7</v>
      </c>
      <c r="F81" s="302">
        <v>105</v>
      </c>
      <c r="G81" s="303">
        <v>103.7</v>
      </c>
      <c r="H81" s="300">
        <v>104.6</v>
      </c>
      <c r="I81" s="304">
        <v>104.6</v>
      </c>
      <c r="J81" s="305">
        <v>104.4</v>
      </c>
      <c r="K81" s="302">
        <v>104.5</v>
      </c>
      <c r="L81" s="300">
        <v>104.1</v>
      </c>
      <c r="M81" s="304">
        <v>105.2</v>
      </c>
      <c r="N81" s="306">
        <v>104.6</v>
      </c>
      <c r="O81" s="307">
        <v>104.3</v>
      </c>
      <c r="P81" s="300">
        <v>103.4</v>
      </c>
      <c r="Q81" s="307">
        <v>104.7</v>
      </c>
      <c r="R81" s="248"/>
      <c r="S81" s="358">
        <v>105.6</v>
      </c>
      <c r="T81" s="359">
        <v>107.1</v>
      </c>
      <c r="U81" s="360">
        <v>109.1</v>
      </c>
      <c r="V81" s="336">
        <v>109.8</v>
      </c>
      <c r="W81" s="361">
        <v>108.1</v>
      </c>
      <c r="X81" s="359">
        <v>107.4</v>
      </c>
      <c r="Y81" s="360">
        <v>106.6</v>
      </c>
      <c r="Z81" s="363">
        <v>115.3</v>
      </c>
      <c r="AA81" s="278">
        <v>116.7</v>
      </c>
      <c r="AB81" s="244"/>
      <c r="AC81" s="263"/>
      <c r="AE81" s="410"/>
      <c r="AF81" s="411"/>
      <c r="AH81" s="411"/>
      <c r="AJ81" s="411"/>
      <c r="AL81" s="412"/>
      <c r="AM81" s="411"/>
      <c r="AN81" s="411"/>
      <c r="AP81" s="412"/>
      <c r="AQ81" s="411"/>
      <c r="AR81" s="411"/>
      <c r="AT81" s="412"/>
      <c r="AU81" s="411"/>
      <c r="AV81" s="411"/>
    </row>
    <row r="82" spans="1:48" ht="18" customHeight="1" x14ac:dyDescent="0.3">
      <c r="A82" s="244"/>
      <c r="B82" s="223">
        <v>9</v>
      </c>
      <c r="C82" s="224">
        <v>2013</v>
      </c>
      <c r="D82" s="300">
        <v>104.6</v>
      </c>
      <c r="E82" s="301">
        <v>104.1</v>
      </c>
      <c r="F82" s="302">
        <v>105.6</v>
      </c>
      <c r="G82" s="303">
        <v>104.3</v>
      </c>
      <c r="H82" s="300">
        <v>105.3</v>
      </c>
      <c r="I82" s="304">
        <v>105</v>
      </c>
      <c r="J82" s="305">
        <v>105.1</v>
      </c>
      <c r="K82" s="302">
        <v>104.8</v>
      </c>
      <c r="L82" s="300">
        <v>104.6</v>
      </c>
      <c r="M82" s="304">
        <v>105.7</v>
      </c>
      <c r="N82" s="306">
        <v>104.8</v>
      </c>
      <c r="O82" s="307">
        <v>104.9</v>
      </c>
      <c r="P82" s="300">
        <v>104</v>
      </c>
      <c r="Q82" s="307">
        <v>105.3</v>
      </c>
      <c r="R82" s="248"/>
      <c r="S82" s="358">
        <v>105.1</v>
      </c>
      <c r="T82" s="359">
        <v>107.1</v>
      </c>
      <c r="U82" s="360">
        <v>108.4</v>
      </c>
      <c r="V82" s="336">
        <v>111.5</v>
      </c>
      <c r="W82" s="361">
        <v>108.6</v>
      </c>
      <c r="X82" s="359">
        <v>107.6</v>
      </c>
      <c r="Y82" s="360">
        <v>107</v>
      </c>
      <c r="Z82" s="363">
        <v>115.2</v>
      </c>
      <c r="AA82" s="278">
        <v>116.6</v>
      </c>
      <c r="AB82" s="244"/>
      <c r="AC82" s="263"/>
      <c r="AE82" s="410"/>
      <c r="AF82" s="411"/>
      <c r="AH82" s="411"/>
      <c r="AJ82" s="411"/>
      <c r="AL82" s="412"/>
      <c r="AM82" s="411"/>
      <c r="AN82" s="411"/>
      <c r="AP82" s="412"/>
      <c r="AQ82" s="411"/>
      <c r="AR82" s="411"/>
      <c r="AT82" s="412"/>
      <c r="AU82" s="411"/>
      <c r="AV82" s="411"/>
    </row>
    <row r="83" spans="1:48" ht="18" customHeight="1" x14ac:dyDescent="0.3">
      <c r="A83" s="244"/>
      <c r="B83" s="223">
        <v>10</v>
      </c>
      <c r="C83" s="224">
        <v>2013</v>
      </c>
      <c r="D83" s="300">
        <v>104.9</v>
      </c>
      <c r="E83" s="301">
        <v>104.3</v>
      </c>
      <c r="F83" s="302">
        <v>105.7</v>
      </c>
      <c r="G83" s="303">
        <v>104.5</v>
      </c>
      <c r="H83" s="300">
        <v>105.7</v>
      </c>
      <c r="I83" s="304">
        <v>105</v>
      </c>
      <c r="J83" s="305">
        <v>105.3</v>
      </c>
      <c r="K83" s="302">
        <v>104.9</v>
      </c>
      <c r="L83" s="300">
        <v>105</v>
      </c>
      <c r="M83" s="304">
        <v>105.9</v>
      </c>
      <c r="N83" s="306">
        <v>105.1</v>
      </c>
      <c r="O83" s="307">
        <v>105</v>
      </c>
      <c r="P83" s="300">
        <v>104.2</v>
      </c>
      <c r="Q83" s="307">
        <v>105.4</v>
      </c>
      <c r="R83" s="248"/>
      <c r="S83" s="358">
        <v>105.2</v>
      </c>
      <c r="T83" s="359">
        <v>107.2</v>
      </c>
      <c r="U83" s="360">
        <v>108.5</v>
      </c>
      <c r="V83" s="336">
        <v>110.7</v>
      </c>
      <c r="W83" s="361">
        <v>109.5</v>
      </c>
      <c r="X83" s="359">
        <v>108.2</v>
      </c>
      <c r="Y83" s="360">
        <v>107.6</v>
      </c>
      <c r="Z83" s="363">
        <v>113.8</v>
      </c>
      <c r="AA83" s="278">
        <v>115.1</v>
      </c>
      <c r="AB83" s="244"/>
      <c r="AC83" s="263"/>
      <c r="AE83" s="410"/>
      <c r="AF83" s="411"/>
      <c r="AH83" s="411"/>
      <c r="AJ83" s="411"/>
      <c r="AL83" s="412"/>
      <c r="AM83" s="411"/>
      <c r="AN83" s="411"/>
      <c r="AP83" s="412"/>
      <c r="AQ83" s="411"/>
      <c r="AR83" s="411"/>
      <c r="AT83" s="412"/>
      <c r="AU83" s="411"/>
      <c r="AV83" s="411"/>
    </row>
    <row r="84" spans="1:48" ht="18" customHeight="1" x14ac:dyDescent="0.3">
      <c r="A84" s="244"/>
      <c r="B84" s="223">
        <v>11</v>
      </c>
      <c r="C84" s="224">
        <v>2013</v>
      </c>
      <c r="D84" s="300">
        <v>104.9</v>
      </c>
      <c r="E84" s="301">
        <v>104.5</v>
      </c>
      <c r="F84" s="302">
        <v>105.7</v>
      </c>
      <c r="G84" s="303">
        <v>104.8</v>
      </c>
      <c r="H84" s="300">
        <v>105.9</v>
      </c>
      <c r="I84" s="304">
        <v>104.9</v>
      </c>
      <c r="J84" s="305">
        <v>105.6</v>
      </c>
      <c r="K84" s="302">
        <v>104.9</v>
      </c>
      <c r="L84" s="300">
        <v>104.9</v>
      </c>
      <c r="M84" s="304">
        <v>105.8</v>
      </c>
      <c r="N84" s="306">
        <v>105</v>
      </c>
      <c r="O84" s="307">
        <v>105.1</v>
      </c>
      <c r="P84" s="300">
        <v>104.2</v>
      </c>
      <c r="Q84" s="307">
        <v>105.6</v>
      </c>
      <c r="R84" s="248"/>
      <c r="S84" s="358">
        <v>105.1</v>
      </c>
      <c r="T84" s="359">
        <v>107.1</v>
      </c>
      <c r="U84" s="360">
        <v>107.8</v>
      </c>
      <c r="V84" s="336">
        <v>110.4</v>
      </c>
      <c r="W84" s="361">
        <v>109.9</v>
      </c>
      <c r="X84" s="359">
        <v>108.6</v>
      </c>
      <c r="Y84" s="360">
        <v>108.1</v>
      </c>
      <c r="Z84" s="363">
        <v>114.7</v>
      </c>
      <c r="AA84" s="278">
        <v>116.1</v>
      </c>
      <c r="AB84" s="244"/>
      <c r="AC84" s="263"/>
      <c r="AE84" s="410"/>
      <c r="AF84" s="411"/>
      <c r="AH84" s="411"/>
      <c r="AJ84" s="411"/>
      <c r="AL84" s="412"/>
      <c r="AM84" s="411"/>
      <c r="AN84" s="411"/>
      <c r="AP84" s="412"/>
      <c r="AQ84" s="411"/>
      <c r="AR84" s="411"/>
      <c r="AT84" s="412"/>
      <c r="AU84" s="411"/>
      <c r="AV84" s="411"/>
    </row>
    <row r="85" spans="1:48" ht="18" customHeight="1" x14ac:dyDescent="0.3">
      <c r="A85" s="244"/>
      <c r="B85" s="225">
        <v>12</v>
      </c>
      <c r="C85" s="226">
        <v>2013</v>
      </c>
      <c r="D85" s="308">
        <v>105</v>
      </c>
      <c r="E85" s="309">
        <v>104.9</v>
      </c>
      <c r="F85" s="310">
        <v>106.2</v>
      </c>
      <c r="G85" s="311">
        <v>105.2</v>
      </c>
      <c r="H85" s="308">
        <v>106.2</v>
      </c>
      <c r="I85" s="312">
        <v>105.2</v>
      </c>
      <c r="J85" s="313">
        <v>105.9</v>
      </c>
      <c r="K85" s="310">
        <v>105.3</v>
      </c>
      <c r="L85" s="308">
        <v>105.5</v>
      </c>
      <c r="M85" s="312">
        <v>106.3</v>
      </c>
      <c r="N85" s="314">
        <v>105.5</v>
      </c>
      <c r="O85" s="315">
        <v>105.3</v>
      </c>
      <c r="P85" s="308">
        <v>104.5</v>
      </c>
      <c r="Q85" s="315">
        <v>105.9</v>
      </c>
      <c r="R85" s="248"/>
      <c r="S85" s="364">
        <v>105.1</v>
      </c>
      <c r="T85" s="365">
        <v>107</v>
      </c>
      <c r="U85" s="366">
        <v>108</v>
      </c>
      <c r="V85" s="346">
        <v>112.7</v>
      </c>
      <c r="W85" s="367">
        <v>110.1</v>
      </c>
      <c r="X85" s="365">
        <v>108.7</v>
      </c>
      <c r="Y85" s="366">
        <v>108.4</v>
      </c>
      <c r="Z85" s="369">
        <v>114.7</v>
      </c>
      <c r="AA85" s="286">
        <v>116.1</v>
      </c>
      <c r="AB85" s="244"/>
      <c r="AC85" s="263"/>
      <c r="AE85" s="410"/>
      <c r="AF85" s="411"/>
      <c r="AH85" s="411"/>
      <c r="AJ85" s="411"/>
      <c r="AL85" s="412"/>
      <c r="AM85" s="411"/>
      <c r="AN85" s="411"/>
      <c r="AP85" s="412"/>
      <c r="AQ85" s="411"/>
      <c r="AR85" s="411"/>
      <c r="AT85" s="412"/>
      <c r="AU85" s="411"/>
      <c r="AV85" s="411"/>
    </row>
    <row r="86" spans="1:48" ht="18" customHeight="1" x14ac:dyDescent="0.3">
      <c r="A86" s="244"/>
      <c r="B86" s="221">
        <v>1</v>
      </c>
      <c r="C86" s="222">
        <v>2014</v>
      </c>
      <c r="D86" s="316">
        <v>105.9</v>
      </c>
      <c r="E86" s="317">
        <v>105.4</v>
      </c>
      <c r="F86" s="318">
        <v>106.6</v>
      </c>
      <c r="G86" s="319">
        <v>105.9</v>
      </c>
      <c r="H86" s="316">
        <v>106.8</v>
      </c>
      <c r="I86" s="320">
        <v>105.9</v>
      </c>
      <c r="J86" s="321">
        <v>106.6</v>
      </c>
      <c r="K86" s="318">
        <v>106</v>
      </c>
      <c r="L86" s="316">
        <v>106.2</v>
      </c>
      <c r="M86" s="320">
        <v>107</v>
      </c>
      <c r="N86" s="322">
        <v>106.2</v>
      </c>
      <c r="O86" s="323">
        <v>106</v>
      </c>
      <c r="P86" s="316">
        <v>105.2</v>
      </c>
      <c r="Q86" s="323">
        <v>106.9</v>
      </c>
      <c r="R86" s="248"/>
      <c r="S86" s="351">
        <v>105.9</v>
      </c>
      <c r="T86" s="352">
        <v>108.1</v>
      </c>
      <c r="U86" s="353">
        <v>109.1</v>
      </c>
      <c r="V86" s="354">
        <v>116</v>
      </c>
      <c r="W86" s="355">
        <v>110.7</v>
      </c>
      <c r="X86" s="352">
        <v>108.8</v>
      </c>
      <c r="Y86" s="353">
        <v>108.4</v>
      </c>
      <c r="Z86" s="357">
        <v>117.6</v>
      </c>
      <c r="AA86" s="294">
        <v>119.1</v>
      </c>
      <c r="AB86" s="244"/>
      <c r="AC86" s="263"/>
      <c r="AE86" s="410"/>
      <c r="AF86" s="411"/>
      <c r="AH86" s="411"/>
      <c r="AJ86" s="411"/>
      <c r="AL86" s="412"/>
      <c r="AM86" s="411"/>
      <c r="AN86" s="411"/>
      <c r="AP86" s="412"/>
      <c r="AQ86" s="411"/>
      <c r="AR86" s="411"/>
      <c r="AT86" s="412"/>
      <c r="AU86" s="411"/>
      <c r="AV86" s="411"/>
    </row>
    <row r="87" spans="1:48" ht="18" customHeight="1" x14ac:dyDescent="0.3">
      <c r="A87" s="244"/>
      <c r="B87" s="223">
        <v>2</v>
      </c>
      <c r="C87" s="224">
        <v>2014</v>
      </c>
      <c r="D87" s="300">
        <v>106.7</v>
      </c>
      <c r="E87" s="301">
        <v>106.6</v>
      </c>
      <c r="F87" s="302">
        <v>108.2</v>
      </c>
      <c r="G87" s="303">
        <v>106.7</v>
      </c>
      <c r="H87" s="300">
        <v>107.8</v>
      </c>
      <c r="I87" s="304">
        <v>107</v>
      </c>
      <c r="J87" s="305">
        <v>108.2</v>
      </c>
      <c r="K87" s="302">
        <v>107.2</v>
      </c>
      <c r="L87" s="300">
        <v>107.3</v>
      </c>
      <c r="M87" s="304">
        <v>108.4</v>
      </c>
      <c r="N87" s="306">
        <v>107.7</v>
      </c>
      <c r="O87" s="307">
        <v>107.4</v>
      </c>
      <c r="P87" s="300">
        <v>106.3</v>
      </c>
      <c r="Q87" s="307">
        <v>107.8</v>
      </c>
      <c r="R87" s="248"/>
      <c r="S87" s="358">
        <v>106</v>
      </c>
      <c r="T87" s="359">
        <v>111.3</v>
      </c>
      <c r="U87" s="360">
        <v>112.8</v>
      </c>
      <c r="V87" s="336">
        <v>119.1</v>
      </c>
      <c r="W87" s="361">
        <v>112.3</v>
      </c>
      <c r="X87" s="359">
        <v>115.8</v>
      </c>
      <c r="Y87" s="360">
        <v>109</v>
      </c>
      <c r="Z87" s="363">
        <v>120.1</v>
      </c>
      <c r="AA87" s="278">
        <v>121.7</v>
      </c>
      <c r="AB87" s="244"/>
      <c r="AC87" s="263"/>
      <c r="AE87" s="410"/>
      <c r="AF87" s="411"/>
      <c r="AH87" s="411"/>
      <c r="AJ87" s="411"/>
      <c r="AL87" s="412"/>
      <c r="AM87" s="411"/>
      <c r="AN87" s="411"/>
      <c r="AP87" s="412"/>
      <c r="AQ87" s="411"/>
      <c r="AR87" s="411"/>
      <c r="AT87" s="412"/>
      <c r="AU87" s="411"/>
      <c r="AV87" s="411"/>
    </row>
    <row r="88" spans="1:48" ht="18" customHeight="1" x14ac:dyDescent="0.3">
      <c r="A88" s="244"/>
      <c r="B88" s="223">
        <v>3</v>
      </c>
      <c r="C88" s="224">
        <v>2014</v>
      </c>
      <c r="D88" s="300">
        <v>108.2</v>
      </c>
      <c r="E88" s="301">
        <v>108.1</v>
      </c>
      <c r="F88" s="302">
        <v>109.3</v>
      </c>
      <c r="G88" s="303">
        <v>108</v>
      </c>
      <c r="H88" s="300">
        <v>109.2</v>
      </c>
      <c r="I88" s="304">
        <v>108.6</v>
      </c>
      <c r="J88" s="305">
        <v>109.5</v>
      </c>
      <c r="K88" s="302">
        <v>108.8</v>
      </c>
      <c r="L88" s="300">
        <v>108.6</v>
      </c>
      <c r="M88" s="304">
        <v>110</v>
      </c>
      <c r="N88" s="306">
        <v>109</v>
      </c>
      <c r="O88" s="307">
        <v>108.8</v>
      </c>
      <c r="P88" s="300">
        <v>107.3</v>
      </c>
      <c r="Q88" s="307">
        <v>109</v>
      </c>
      <c r="R88" s="248"/>
      <c r="S88" s="358">
        <v>107.1</v>
      </c>
      <c r="T88" s="359">
        <v>112.1</v>
      </c>
      <c r="U88" s="360">
        <v>114.3</v>
      </c>
      <c r="V88" s="336">
        <v>118.9</v>
      </c>
      <c r="W88" s="361">
        <v>112.1</v>
      </c>
      <c r="X88" s="359">
        <v>116.2</v>
      </c>
      <c r="Y88" s="360">
        <v>109.5</v>
      </c>
      <c r="Z88" s="363">
        <v>122.6</v>
      </c>
      <c r="AA88" s="278">
        <v>124.3</v>
      </c>
      <c r="AB88" s="244"/>
      <c r="AC88" s="263"/>
      <c r="AE88" s="410"/>
      <c r="AF88" s="411"/>
      <c r="AH88" s="411"/>
      <c r="AJ88" s="411"/>
      <c r="AL88" s="412"/>
      <c r="AM88" s="411"/>
      <c r="AN88" s="411"/>
      <c r="AP88" s="412"/>
      <c r="AQ88" s="411"/>
      <c r="AR88" s="411"/>
      <c r="AT88" s="412"/>
      <c r="AU88" s="411"/>
      <c r="AV88" s="411"/>
    </row>
    <row r="89" spans="1:48" ht="18" customHeight="1" x14ac:dyDescent="0.3">
      <c r="A89" s="244"/>
      <c r="B89" s="223">
        <v>4</v>
      </c>
      <c r="C89" s="224">
        <v>2014</v>
      </c>
      <c r="D89" s="300">
        <v>108.6</v>
      </c>
      <c r="E89" s="301">
        <v>108.5</v>
      </c>
      <c r="F89" s="302">
        <v>109.4</v>
      </c>
      <c r="G89" s="303">
        <v>108.4</v>
      </c>
      <c r="H89" s="300">
        <v>109.7</v>
      </c>
      <c r="I89" s="304">
        <v>109.1</v>
      </c>
      <c r="J89" s="305">
        <v>109.9</v>
      </c>
      <c r="K89" s="302">
        <v>109.4</v>
      </c>
      <c r="L89" s="300">
        <v>109.1</v>
      </c>
      <c r="M89" s="304">
        <v>110.6</v>
      </c>
      <c r="N89" s="306">
        <v>109.5</v>
      </c>
      <c r="O89" s="307">
        <v>109.2</v>
      </c>
      <c r="P89" s="300">
        <v>107.8</v>
      </c>
      <c r="Q89" s="307">
        <v>109.4</v>
      </c>
      <c r="R89" s="248"/>
      <c r="S89" s="358">
        <v>107.5</v>
      </c>
      <c r="T89" s="359">
        <v>112.6</v>
      </c>
      <c r="U89" s="360">
        <v>114.2</v>
      </c>
      <c r="V89" s="336">
        <v>116.4</v>
      </c>
      <c r="W89" s="361">
        <v>112.9</v>
      </c>
      <c r="X89" s="359">
        <v>117.5</v>
      </c>
      <c r="Y89" s="360">
        <v>111.4</v>
      </c>
      <c r="Z89" s="363">
        <v>121.7</v>
      </c>
      <c r="AA89" s="278">
        <v>123.2</v>
      </c>
      <c r="AB89" s="244"/>
      <c r="AC89" s="263"/>
      <c r="AE89" s="410"/>
      <c r="AF89" s="411"/>
      <c r="AH89" s="411"/>
      <c r="AJ89" s="411"/>
      <c r="AL89" s="412"/>
      <c r="AM89" s="411"/>
      <c r="AN89" s="411"/>
      <c r="AP89" s="412"/>
      <c r="AQ89" s="411"/>
      <c r="AR89" s="411"/>
      <c r="AT89" s="412"/>
      <c r="AU89" s="411"/>
      <c r="AV89" s="411"/>
    </row>
    <row r="90" spans="1:48" ht="18" customHeight="1" x14ac:dyDescent="0.3">
      <c r="A90" s="244"/>
      <c r="B90" s="223">
        <v>5</v>
      </c>
      <c r="C90" s="224">
        <v>2014</v>
      </c>
      <c r="D90" s="300">
        <v>108.9</v>
      </c>
      <c r="E90" s="301">
        <v>108.8</v>
      </c>
      <c r="F90" s="302">
        <v>109.6</v>
      </c>
      <c r="G90" s="303">
        <v>108.8</v>
      </c>
      <c r="H90" s="300">
        <v>109.9</v>
      </c>
      <c r="I90" s="304">
        <v>109.4</v>
      </c>
      <c r="J90" s="305">
        <v>110.3</v>
      </c>
      <c r="K90" s="302">
        <v>109.6</v>
      </c>
      <c r="L90" s="300">
        <v>109.3</v>
      </c>
      <c r="M90" s="304">
        <v>110.7</v>
      </c>
      <c r="N90" s="306">
        <v>109.6</v>
      </c>
      <c r="O90" s="307">
        <v>109.3</v>
      </c>
      <c r="P90" s="300">
        <v>108.2</v>
      </c>
      <c r="Q90" s="307">
        <v>109.8</v>
      </c>
      <c r="R90" s="248"/>
      <c r="S90" s="358">
        <v>107.7</v>
      </c>
      <c r="T90" s="359">
        <v>112.4</v>
      </c>
      <c r="U90" s="360">
        <v>113.6</v>
      </c>
      <c r="V90" s="336">
        <v>114.5</v>
      </c>
      <c r="W90" s="361">
        <v>113.4</v>
      </c>
      <c r="X90" s="359">
        <v>117.7</v>
      </c>
      <c r="Y90" s="360">
        <v>111.8</v>
      </c>
      <c r="Z90" s="363">
        <v>119</v>
      </c>
      <c r="AA90" s="278">
        <v>120.3</v>
      </c>
      <c r="AB90" s="244"/>
      <c r="AC90" s="263"/>
      <c r="AE90" s="410"/>
      <c r="AF90" s="411"/>
      <c r="AH90" s="411"/>
      <c r="AJ90" s="411"/>
      <c r="AL90" s="412"/>
      <c r="AM90" s="411"/>
      <c r="AN90" s="411"/>
      <c r="AP90" s="412"/>
      <c r="AQ90" s="411"/>
      <c r="AR90" s="411"/>
      <c r="AT90" s="412"/>
      <c r="AU90" s="411"/>
      <c r="AV90" s="411"/>
    </row>
    <row r="91" spans="1:48" ht="18" customHeight="1" x14ac:dyDescent="0.3">
      <c r="A91" s="244"/>
      <c r="B91" s="223">
        <v>6</v>
      </c>
      <c r="C91" s="224">
        <v>2014</v>
      </c>
      <c r="D91" s="300">
        <v>109.2</v>
      </c>
      <c r="E91" s="301">
        <v>109.4</v>
      </c>
      <c r="F91" s="302">
        <v>110.1</v>
      </c>
      <c r="G91" s="303">
        <v>109.2</v>
      </c>
      <c r="H91" s="300">
        <v>110.2</v>
      </c>
      <c r="I91" s="304">
        <v>109.5</v>
      </c>
      <c r="J91" s="305">
        <v>110.2</v>
      </c>
      <c r="K91" s="302">
        <v>109.9</v>
      </c>
      <c r="L91" s="300">
        <v>109.9</v>
      </c>
      <c r="M91" s="304">
        <v>111.2</v>
      </c>
      <c r="N91" s="306">
        <v>110</v>
      </c>
      <c r="O91" s="307">
        <v>109.5</v>
      </c>
      <c r="P91" s="300">
        <v>108.7</v>
      </c>
      <c r="Q91" s="307">
        <v>109.8</v>
      </c>
      <c r="R91" s="248"/>
      <c r="S91" s="358">
        <v>108</v>
      </c>
      <c r="T91" s="359">
        <v>112.4</v>
      </c>
      <c r="U91" s="360">
        <v>114.1</v>
      </c>
      <c r="V91" s="336">
        <v>114</v>
      </c>
      <c r="W91" s="361">
        <v>113.6</v>
      </c>
      <c r="X91" s="359">
        <v>116.7</v>
      </c>
      <c r="Y91" s="360">
        <v>110.9</v>
      </c>
      <c r="Z91" s="363">
        <v>116.9</v>
      </c>
      <c r="AA91" s="278">
        <v>118</v>
      </c>
      <c r="AB91" s="244"/>
      <c r="AC91" s="263"/>
      <c r="AE91" s="410"/>
      <c r="AF91" s="411"/>
      <c r="AH91" s="411"/>
      <c r="AJ91" s="411"/>
      <c r="AL91" s="412"/>
      <c r="AM91" s="411"/>
      <c r="AN91" s="411"/>
      <c r="AP91" s="412"/>
      <c r="AQ91" s="411"/>
      <c r="AR91" s="411"/>
      <c r="AT91" s="412"/>
      <c r="AU91" s="411"/>
      <c r="AV91" s="411"/>
    </row>
    <row r="92" spans="1:48" ht="18" customHeight="1" x14ac:dyDescent="0.3">
      <c r="A92" s="244"/>
      <c r="B92" s="223">
        <v>7</v>
      </c>
      <c r="C92" s="224">
        <v>2014</v>
      </c>
      <c r="D92" s="300">
        <v>110.1</v>
      </c>
      <c r="E92" s="301">
        <v>110.5</v>
      </c>
      <c r="F92" s="302">
        <v>111.3</v>
      </c>
      <c r="G92" s="303">
        <v>111.2</v>
      </c>
      <c r="H92" s="300">
        <v>110.8</v>
      </c>
      <c r="I92" s="304">
        <v>110.9</v>
      </c>
      <c r="J92" s="305">
        <v>110.7</v>
      </c>
      <c r="K92" s="302">
        <v>111</v>
      </c>
      <c r="L92" s="300">
        <v>110.5</v>
      </c>
      <c r="M92" s="304">
        <v>112.1</v>
      </c>
      <c r="N92" s="306">
        <v>110.6</v>
      </c>
      <c r="O92" s="307">
        <v>110.5</v>
      </c>
      <c r="P92" s="300">
        <v>109.1</v>
      </c>
      <c r="Q92" s="307">
        <v>110.6</v>
      </c>
      <c r="R92" s="248"/>
      <c r="S92" s="358">
        <v>108</v>
      </c>
      <c r="T92" s="359">
        <v>112</v>
      </c>
      <c r="U92" s="360">
        <v>115.1</v>
      </c>
      <c r="V92" s="336">
        <v>113.6</v>
      </c>
      <c r="W92" s="361">
        <v>113.7</v>
      </c>
      <c r="X92" s="359">
        <v>116.3</v>
      </c>
      <c r="Y92" s="360">
        <v>110.6</v>
      </c>
      <c r="Z92" s="363">
        <v>118.2</v>
      </c>
      <c r="AA92" s="278">
        <v>119.4</v>
      </c>
      <c r="AB92" s="244"/>
      <c r="AC92" s="263"/>
      <c r="AE92" s="410"/>
      <c r="AF92" s="411"/>
      <c r="AH92" s="411"/>
      <c r="AJ92" s="411"/>
      <c r="AL92" s="412"/>
      <c r="AM92" s="411"/>
      <c r="AN92" s="411"/>
      <c r="AP92" s="412"/>
      <c r="AQ92" s="411"/>
      <c r="AR92" s="411"/>
      <c r="AT92" s="412"/>
      <c r="AU92" s="411"/>
      <c r="AV92" s="411"/>
    </row>
    <row r="93" spans="1:48" ht="18" customHeight="1" x14ac:dyDescent="0.3">
      <c r="A93" s="244"/>
      <c r="B93" s="223">
        <v>8</v>
      </c>
      <c r="C93" s="224">
        <v>2014</v>
      </c>
      <c r="D93" s="300">
        <v>110.5</v>
      </c>
      <c r="E93" s="301">
        <v>110.8</v>
      </c>
      <c r="F93" s="302">
        <v>111.5</v>
      </c>
      <c r="G93" s="303">
        <v>111.4</v>
      </c>
      <c r="H93" s="300">
        <v>111.2</v>
      </c>
      <c r="I93" s="304">
        <v>111</v>
      </c>
      <c r="J93" s="305">
        <v>111.2</v>
      </c>
      <c r="K93" s="302">
        <v>111.2</v>
      </c>
      <c r="L93" s="300">
        <v>111</v>
      </c>
      <c r="M93" s="304">
        <v>112.4</v>
      </c>
      <c r="N93" s="306">
        <v>111</v>
      </c>
      <c r="O93" s="307">
        <v>110.9</v>
      </c>
      <c r="P93" s="300">
        <v>109.7</v>
      </c>
      <c r="Q93" s="307">
        <v>111</v>
      </c>
      <c r="R93" s="248"/>
      <c r="S93" s="358">
        <v>108</v>
      </c>
      <c r="T93" s="359">
        <v>112</v>
      </c>
      <c r="U93" s="360">
        <v>114</v>
      </c>
      <c r="V93" s="336">
        <v>112.2</v>
      </c>
      <c r="W93" s="361">
        <v>113.9</v>
      </c>
      <c r="X93" s="359">
        <v>117.2</v>
      </c>
      <c r="Y93" s="360">
        <v>110.7</v>
      </c>
      <c r="Z93" s="363">
        <v>117.6</v>
      </c>
      <c r="AA93" s="278">
        <v>118.9</v>
      </c>
      <c r="AB93" s="244"/>
      <c r="AC93" s="263"/>
      <c r="AE93" s="410"/>
      <c r="AF93" s="411"/>
      <c r="AH93" s="411"/>
      <c r="AJ93" s="411"/>
      <c r="AL93" s="412"/>
      <c r="AM93" s="411"/>
      <c r="AN93" s="411"/>
      <c r="AP93" s="412"/>
      <c r="AQ93" s="411"/>
      <c r="AR93" s="411"/>
      <c r="AT93" s="412"/>
      <c r="AU93" s="411"/>
      <c r="AV93" s="411"/>
    </row>
    <row r="94" spans="1:48" ht="18" customHeight="1" x14ac:dyDescent="0.3">
      <c r="A94" s="244"/>
      <c r="B94" s="223">
        <v>9</v>
      </c>
      <c r="C94" s="224">
        <v>2014</v>
      </c>
      <c r="D94" s="300">
        <v>110.9</v>
      </c>
      <c r="E94" s="301">
        <v>110.6</v>
      </c>
      <c r="F94" s="302">
        <v>111.4</v>
      </c>
      <c r="G94" s="303">
        <v>111.3</v>
      </c>
      <c r="H94" s="300">
        <v>111.2</v>
      </c>
      <c r="I94" s="304">
        <v>110.9</v>
      </c>
      <c r="J94" s="305">
        <v>111</v>
      </c>
      <c r="K94" s="302">
        <v>111.1</v>
      </c>
      <c r="L94" s="300">
        <v>110.8</v>
      </c>
      <c r="M94" s="304">
        <v>112.3</v>
      </c>
      <c r="N94" s="306">
        <v>111</v>
      </c>
      <c r="O94" s="307">
        <v>110.7</v>
      </c>
      <c r="P94" s="300">
        <v>109.7</v>
      </c>
      <c r="Q94" s="307">
        <v>111</v>
      </c>
      <c r="R94" s="248"/>
      <c r="S94" s="358">
        <v>108.7</v>
      </c>
      <c r="T94" s="359">
        <v>113.2</v>
      </c>
      <c r="U94" s="360">
        <v>114.1</v>
      </c>
      <c r="V94" s="336">
        <v>110.6</v>
      </c>
      <c r="W94" s="361">
        <v>113.9</v>
      </c>
      <c r="X94" s="359">
        <v>117.2</v>
      </c>
      <c r="Y94" s="360">
        <v>110.6</v>
      </c>
      <c r="Z94" s="363">
        <v>115.3</v>
      </c>
      <c r="AA94" s="278">
        <v>116.4</v>
      </c>
      <c r="AB94" s="244"/>
      <c r="AC94" s="263"/>
      <c r="AE94" s="410"/>
      <c r="AF94" s="411"/>
      <c r="AH94" s="411"/>
      <c r="AJ94" s="411"/>
      <c r="AL94" s="412"/>
      <c r="AM94" s="411"/>
      <c r="AN94" s="411"/>
      <c r="AP94" s="412"/>
      <c r="AQ94" s="411"/>
      <c r="AR94" s="411"/>
      <c r="AT94" s="412"/>
      <c r="AU94" s="411"/>
      <c r="AV94" s="411"/>
    </row>
    <row r="95" spans="1:48" ht="18" customHeight="1" x14ac:dyDescent="0.3">
      <c r="A95" s="244"/>
      <c r="B95" s="223">
        <v>10</v>
      </c>
      <c r="C95" s="224">
        <v>2014</v>
      </c>
      <c r="D95" s="300">
        <v>111.3</v>
      </c>
      <c r="E95" s="301">
        <v>110.8</v>
      </c>
      <c r="F95" s="302">
        <v>111.6</v>
      </c>
      <c r="G95" s="303">
        <v>111.4</v>
      </c>
      <c r="H95" s="300">
        <v>111.5</v>
      </c>
      <c r="I95" s="304">
        <v>111</v>
      </c>
      <c r="J95" s="305">
        <v>111.3</v>
      </c>
      <c r="K95" s="302">
        <v>111.2</v>
      </c>
      <c r="L95" s="300">
        <v>110.8</v>
      </c>
      <c r="M95" s="304">
        <v>112.5</v>
      </c>
      <c r="N95" s="306">
        <v>111.2</v>
      </c>
      <c r="O95" s="307">
        <v>110.8</v>
      </c>
      <c r="P95" s="300">
        <v>110</v>
      </c>
      <c r="Q95" s="307">
        <v>111</v>
      </c>
      <c r="R95" s="248"/>
      <c r="S95" s="358">
        <v>108.8</v>
      </c>
      <c r="T95" s="359">
        <v>113.2</v>
      </c>
      <c r="U95" s="360">
        <v>114.4</v>
      </c>
      <c r="V95" s="336">
        <v>104.2</v>
      </c>
      <c r="W95" s="361">
        <v>113.3</v>
      </c>
      <c r="X95" s="359">
        <v>117.1</v>
      </c>
      <c r="Y95" s="360">
        <v>109.4</v>
      </c>
      <c r="Z95" s="363">
        <v>114.2</v>
      </c>
      <c r="AA95" s="278">
        <v>115.2</v>
      </c>
      <c r="AB95" s="244"/>
      <c r="AC95" s="263"/>
      <c r="AE95" s="410"/>
      <c r="AF95" s="411"/>
      <c r="AH95" s="411"/>
      <c r="AJ95" s="411"/>
      <c r="AL95" s="412"/>
      <c r="AM95" s="411"/>
      <c r="AN95" s="411"/>
      <c r="AP95" s="412"/>
      <c r="AQ95" s="411"/>
      <c r="AR95" s="411"/>
      <c r="AT95" s="412"/>
      <c r="AU95" s="411"/>
      <c r="AV95" s="411"/>
    </row>
    <row r="96" spans="1:48" ht="18" customHeight="1" x14ac:dyDescent="0.3">
      <c r="A96" s="244"/>
      <c r="B96" s="223">
        <v>11</v>
      </c>
      <c r="C96" s="224">
        <v>2014</v>
      </c>
      <c r="D96" s="300">
        <v>111.4</v>
      </c>
      <c r="E96" s="301">
        <v>111</v>
      </c>
      <c r="F96" s="302">
        <v>111.6</v>
      </c>
      <c r="G96" s="303">
        <v>111.3</v>
      </c>
      <c r="H96" s="300">
        <v>111.6</v>
      </c>
      <c r="I96" s="304">
        <v>110.8</v>
      </c>
      <c r="J96" s="305">
        <v>111.3</v>
      </c>
      <c r="K96" s="302">
        <v>111.1</v>
      </c>
      <c r="L96" s="300">
        <v>110.9</v>
      </c>
      <c r="M96" s="304">
        <v>112.4</v>
      </c>
      <c r="N96" s="306">
        <v>111.1</v>
      </c>
      <c r="O96" s="307">
        <v>111</v>
      </c>
      <c r="P96" s="300">
        <v>110.1</v>
      </c>
      <c r="Q96" s="307">
        <v>110.9</v>
      </c>
      <c r="R96" s="248"/>
      <c r="S96" s="358">
        <v>108.5</v>
      </c>
      <c r="T96" s="359">
        <v>114</v>
      </c>
      <c r="U96" s="360">
        <v>113.7</v>
      </c>
      <c r="V96" s="336">
        <v>97.9</v>
      </c>
      <c r="W96" s="361">
        <v>113.6</v>
      </c>
      <c r="X96" s="359">
        <v>117.1</v>
      </c>
      <c r="Y96" s="360">
        <v>109.4</v>
      </c>
      <c r="Z96" s="363">
        <v>106.4</v>
      </c>
      <c r="AA96" s="278">
        <v>109.4</v>
      </c>
      <c r="AB96" s="244"/>
      <c r="AC96" s="263"/>
      <c r="AE96" s="410"/>
      <c r="AF96" s="411"/>
      <c r="AH96" s="411"/>
      <c r="AJ96" s="411"/>
      <c r="AL96" s="412"/>
      <c r="AM96" s="411"/>
      <c r="AN96" s="411"/>
      <c r="AP96" s="412"/>
      <c r="AQ96" s="411"/>
      <c r="AR96" s="411"/>
      <c r="AT96" s="412"/>
      <c r="AU96" s="411"/>
      <c r="AV96" s="411"/>
    </row>
    <row r="97" spans="1:48" ht="18" customHeight="1" x14ac:dyDescent="0.3">
      <c r="A97" s="244"/>
      <c r="B97" s="225">
        <v>12</v>
      </c>
      <c r="C97" s="226">
        <v>2014</v>
      </c>
      <c r="D97" s="308">
        <v>111.3</v>
      </c>
      <c r="E97" s="309">
        <v>110.9</v>
      </c>
      <c r="F97" s="310">
        <v>111.3</v>
      </c>
      <c r="G97" s="311">
        <v>111</v>
      </c>
      <c r="H97" s="308">
        <v>111.3</v>
      </c>
      <c r="I97" s="312">
        <v>110.5</v>
      </c>
      <c r="J97" s="313">
        <v>111.1</v>
      </c>
      <c r="K97" s="310">
        <v>110.8</v>
      </c>
      <c r="L97" s="308">
        <v>110.5</v>
      </c>
      <c r="M97" s="312">
        <v>112.3</v>
      </c>
      <c r="N97" s="314">
        <v>110.8</v>
      </c>
      <c r="O97" s="315">
        <v>110.6</v>
      </c>
      <c r="P97" s="308">
        <v>109.7</v>
      </c>
      <c r="Q97" s="315">
        <v>110.6</v>
      </c>
      <c r="R97" s="248"/>
      <c r="S97" s="364">
        <v>108.1</v>
      </c>
      <c r="T97" s="365">
        <v>114</v>
      </c>
      <c r="U97" s="366">
        <v>110.5</v>
      </c>
      <c r="V97" s="346">
        <v>89.3</v>
      </c>
      <c r="W97" s="367">
        <v>113.6</v>
      </c>
      <c r="X97" s="365">
        <v>117.1</v>
      </c>
      <c r="Y97" s="366">
        <v>109.4</v>
      </c>
      <c r="Z97" s="369">
        <v>101.3</v>
      </c>
      <c r="AA97" s="286">
        <v>104.4</v>
      </c>
      <c r="AB97" s="244"/>
      <c r="AC97" s="263"/>
      <c r="AE97" s="410"/>
      <c r="AF97" s="411"/>
      <c r="AH97" s="411"/>
      <c r="AJ97" s="411"/>
      <c r="AL97" s="412"/>
      <c r="AM97" s="411"/>
      <c r="AN97" s="411"/>
      <c r="AP97" s="412"/>
      <c r="AQ97" s="411"/>
      <c r="AR97" s="411"/>
      <c r="AT97" s="412"/>
      <c r="AU97" s="411"/>
      <c r="AV97" s="411"/>
    </row>
    <row r="98" spans="1:48" ht="18" customHeight="1" x14ac:dyDescent="0.3">
      <c r="A98" s="244"/>
      <c r="B98" s="221">
        <v>1</v>
      </c>
      <c r="C98" s="222">
        <v>2015</v>
      </c>
      <c r="D98" s="316">
        <v>111.2</v>
      </c>
      <c r="E98" s="317">
        <v>110.8</v>
      </c>
      <c r="F98" s="318">
        <v>111.1</v>
      </c>
      <c r="G98" s="319">
        <v>111</v>
      </c>
      <c r="H98" s="316">
        <v>111.5</v>
      </c>
      <c r="I98" s="320">
        <v>110</v>
      </c>
      <c r="J98" s="321">
        <v>110.9</v>
      </c>
      <c r="K98" s="318">
        <v>110.5</v>
      </c>
      <c r="L98" s="316">
        <v>110.6</v>
      </c>
      <c r="M98" s="320">
        <v>112</v>
      </c>
      <c r="N98" s="322">
        <v>110.7</v>
      </c>
      <c r="O98" s="323">
        <v>110.2</v>
      </c>
      <c r="P98" s="316">
        <v>109.9</v>
      </c>
      <c r="Q98" s="323">
        <v>110.6</v>
      </c>
      <c r="R98" s="248"/>
      <c r="S98" s="351">
        <v>106.1</v>
      </c>
      <c r="T98" s="352">
        <v>111.3</v>
      </c>
      <c r="U98" s="353">
        <v>107.2</v>
      </c>
      <c r="V98" s="354">
        <v>78.5</v>
      </c>
      <c r="W98" s="355">
        <v>114.8</v>
      </c>
      <c r="X98" s="352">
        <v>118</v>
      </c>
      <c r="Y98" s="353">
        <v>110.1</v>
      </c>
      <c r="Z98" s="357">
        <v>94.6</v>
      </c>
      <c r="AA98" s="294">
        <v>97.5</v>
      </c>
      <c r="AB98" s="244"/>
      <c r="AC98" s="263"/>
      <c r="AE98" s="410"/>
      <c r="AF98" s="411"/>
      <c r="AH98" s="411"/>
      <c r="AJ98" s="411"/>
      <c r="AL98" s="412"/>
      <c r="AM98" s="411"/>
      <c r="AN98" s="411"/>
      <c r="AP98" s="412"/>
      <c r="AQ98" s="411"/>
      <c r="AR98" s="411"/>
      <c r="AT98" s="412"/>
      <c r="AU98" s="411"/>
      <c r="AV98" s="411"/>
    </row>
    <row r="99" spans="1:48" ht="18" customHeight="1" x14ac:dyDescent="0.3">
      <c r="A99" s="244"/>
      <c r="B99" s="223">
        <v>2</v>
      </c>
      <c r="C99" s="224">
        <v>2015</v>
      </c>
      <c r="D99" s="300">
        <v>111.6</v>
      </c>
      <c r="E99" s="301">
        <v>111.5</v>
      </c>
      <c r="F99" s="302">
        <v>112.1</v>
      </c>
      <c r="G99" s="303">
        <v>111.5</v>
      </c>
      <c r="H99" s="300">
        <v>112.2</v>
      </c>
      <c r="I99" s="304">
        <v>110.5</v>
      </c>
      <c r="J99" s="305">
        <v>112.1</v>
      </c>
      <c r="K99" s="302">
        <v>111.1</v>
      </c>
      <c r="L99" s="300">
        <v>111.21</v>
      </c>
      <c r="M99" s="304">
        <v>112.7</v>
      </c>
      <c r="N99" s="306">
        <v>111.9</v>
      </c>
      <c r="O99" s="307">
        <v>111.1</v>
      </c>
      <c r="P99" s="300">
        <v>110.6</v>
      </c>
      <c r="Q99" s="307">
        <v>111.2</v>
      </c>
      <c r="R99" s="248"/>
      <c r="S99" s="358">
        <v>105.5</v>
      </c>
      <c r="T99" s="359">
        <v>111.9</v>
      </c>
      <c r="U99" s="360">
        <v>102.4</v>
      </c>
      <c r="V99" s="336">
        <v>72.599999999999994</v>
      </c>
      <c r="W99" s="361">
        <v>115.4</v>
      </c>
      <c r="X99" s="359">
        <v>118.2</v>
      </c>
      <c r="Y99" s="360">
        <v>110.5</v>
      </c>
      <c r="Z99" s="363">
        <v>85.2</v>
      </c>
      <c r="AA99" s="278">
        <v>87.5</v>
      </c>
      <c r="AB99" s="244"/>
      <c r="AC99" s="263"/>
      <c r="AE99" s="410"/>
      <c r="AF99" s="411"/>
      <c r="AH99" s="411"/>
      <c r="AJ99" s="411"/>
      <c r="AL99" s="412"/>
      <c r="AM99" s="411"/>
      <c r="AN99" s="411"/>
      <c r="AP99" s="412"/>
      <c r="AQ99" s="411"/>
      <c r="AR99" s="411"/>
      <c r="AT99" s="412"/>
      <c r="AU99" s="411"/>
      <c r="AV99" s="411"/>
    </row>
    <row r="100" spans="1:48" ht="18" customHeight="1" x14ac:dyDescent="0.3">
      <c r="A100" s="244"/>
      <c r="B100" s="223">
        <v>3</v>
      </c>
      <c r="C100" s="224">
        <v>2015</v>
      </c>
      <c r="D100" s="300">
        <v>113.3</v>
      </c>
      <c r="E100" s="301">
        <v>112.7</v>
      </c>
      <c r="F100" s="302">
        <v>113.5</v>
      </c>
      <c r="G100" s="303">
        <v>112.9</v>
      </c>
      <c r="H100" s="300">
        <v>113.9</v>
      </c>
      <c r="I100" s="304">
        <v>112.2</v>
      </c>
      <c r="J100" s="305">
        <v>113.5</v>
      </c>
      <c r="K100" s="302">
        <v>112.7</v>
      </c>
      <c r="L100" s="300">
        <v>112.5</v>
      </c>
      <c r="M100" s="304">
        <v>114.5</v>
      </c>
      <c r="N100" s="306">
        <v>113.5</v>
      </c>
      <c r="O100" s="307">
        <v>112.6</v>
      </c>
      <c r="P100" s="300">
        <v>111.7</v>
      </c>
      <c r="Q100" s="307">
        <v>112.7</v>
      </c>
      <c r="R100" s="248"/>
      <c r="S100" s="358">
        <v>105.2</v>
      </c>
      <c r="T100" s="359">
        <v>111.3</v>
      </c>
      <c r="U100" s="360">
        <v>104.3</v>
      </c>
      <c r="V100" s="336">
        <v>79.900000000000006</v>
      </c>
      <c r="W100" s="361">
        <v>115.5</v>
      </c>
      <c r="X100" s="359">
        <v>118.2</v>
      </c>
      <c r="Y100" s="360">
        <v>110.5</v>
      </c>
      <c r="Z100" s="363">
        <v>92</v>
      </c>
      <c r="AA100" s="278">
        <v>94.7</v>
      </c>
      <c r="AB100" s="244"/>
      <c r="AC100" s="263"/>
      <c r="AE100" s="410"/>
      <c r="AF100" s="411"/>
      <c r="AH100" s="411"/>
      <c r="AJ100" s="411"/>
      <c r="AL100" s="412"/>
      <c r="AM100" s="411"/>
      <c r="AN100" s="411"/>
      <c r="AP100" s="412"/>
      <c r="AQ100" s="411"/>
      <c r="AR100" s="411"/>
      <c r="AT100" s="412"/>
      <c r="AU100" s="411"/>
      <c r="AV100" s="411"/>
    </row>
    <row r="101" spans="1:48" ht="18" customHeight="1" x14ac:dyDescent="0.3">
      <c r="A101" s="244"/>
      <c r="B101" s="223">
        <v>4</v>
      </c>
      <c r="C101" s="224">
        <v>2015</v>
      </c>
      <c r="D101" s="300">
        <v>114.2</v>
      </c>
      <c r="E101" s="301">
        <v>113.7</v>
      </c>
      <c r="F101" s="302">
        <v>114.5</v>
      </c>
      <c r="G101" s="303">
        <v>114</v>
      </c>
      <c r="H101" s="300">
        <v>115</v>
      </c>
      <c r="I101" s="304">
        <v>113.4</v>
      </c>
      <c r="J101" s="305">
        <v>114.4</v>
      </c>
      <c r="K101" s="302">
        <v>113.8</v>
      </c>
      <c r="L101" s="300">
        <v>113.8</v>
      </c>
      <c r="M101" s="304">
        <v>115.6</v>
      </c>
      <c r="N101" s="306">
        <v>114.4</v>
      </c>
      <c r="O101" s="307">
        <v>113.8</v>
      </c>
      <c r="P101" s="300">
        <v>112.8</v>
      </c>
      <c r="Q101" s="307">
        <v>113.9</v>
      </c>
      <c r="R101" s="248"/>
      <c r="S101" s="358">
        <v>102.2</v>
      </c>
      <c r="T101" s="359">
        <v>107.4</v>
      </c>
      <c r="U101" s="360">
        <v>102.6</v>
      </c>
      <c r="V101" s="336">
        <v>84</v>
      </c>
      <c r="W101" s="361">
        <v>115.7</v>
      </c>
      <c r="X101" s="359">
        <v>116.3</v>
      </c>
      <c r="Y101" s="360">
        <v>108.8</v>
      </c>
      <c r="Z101" s="363">
        <v>103.3</v>
      </c>
      <c r="AA101" s="278">
        <v>106.5</v>
      </c>
      <c r="AB101" s="244"/>
      <c r="AC101" s="263"/>
      <c r="AE101" s="410"/>
      <c r="AF101" s="411"/>
      <c r="AH101" s="411"/>
      <c r="AJ101" s="411"/>
      <c r="AL101" s="412"/>
      <c r="AM101" s="411"/>
      <c r="AN101" s="411"/>
      <c r="AP101" s="412"/>
      <c r="AQ101" s="411"/>
      <c r="AR101" s="411"/>
      <c r="AT101" s="412"/>
      <c r="AU101" s="411"/>
      <c r="AV101" s="411"/>
    </row>
    <row r="102" spans="1:48" ht="18" customHeight="1" x14ac:dyDescent="0.3">
      <c r="A102" s="244"/>
      <c r="B102" s="223">
        <v>5</v>
      </c>
      <c r="C102" s="224">
        <v>2015</v>
      </c>
      <c r="D102" s="300">
        <v>114.4</v>
      </c>
      <c r="E102" s="301">
        <v>113.8</v>
      </c>
      <c r="F102" s="302">
        <v>114.8</v>
      </c>
      <c r="G102" s="303">
        <v>114.2</v>
      </c>
      <c r="H102" s="300">
        <v>115.3</v>
      </c>
      <c r="I102" s="304">
        <v>113.7</v>
      </c>
      <c r="J102" s="305">
        <v>114.6</v>
      </c>
      <c r="K102" s="302">
        <v>114</v>
      </c>
      <c r="L102" s="300">
        <v>114</v>
      </c>
      <c r="M102" s="304">
        <v>116</v>
      </c>
      <c r="N102" s="306">
        <v>114.7</v>
      </c>
      <c r="O102" s="307">
        <v>114.1</v>
      </c>
      <c r="P102" s="300">
        <v>113</v>
      </c>
      <c r="Q102" s="307">
        <v>114</v>
      </c>
      <c r="R102" s="248"/>
      <c r="S102" s="358">
        <v>100.7</v>
      </c>
      <c r="T102" s="359">
        <v>105.6</v>
      </c>
      <c r="U102" s="360">
        <v>101.8</v>
      </c>
      <c r="V102" s="336">
        <v>85</v>
      </c>
      <c r="W102" s="361">
        <v>115.9</v>
      </c>
      <c r="X102" s="359">
        <v>116.3</v>
      </c>
      <c r="Y102" s="360">
        <v>108.7</v>
      </c>
      <c r="Z102" s="363">
        <v>102.8</v>
      </c>
      <c r="AA102" s="278">
        <v>106.7</v>
      </c>
      <c r="AB102" s="244"/>
      <c r="AC102" s="263" t="s">
        <v>77</v>
      </c>
      <c r="AE102" s="410"/>
      <c r="AF102" s="411"/>
      <c r="AH102" s="411"/>
      <c r="AJ102" s="411"/>
      <c r="AL102" s="412"/>
      <c r="AM102" s="411"/>
      <c r="AN102" s="411"/>
      <c r="AP102" s="412"/>
      <c r="AQ102" s="411"/>
      <c r="AR102" s="411"/>
      <c r="AT102" s="412"/>
      <c r="AU102" s="411"/>
      <c r="AV102" s="411"/>
    </row>
    <row r="103" spans="1:48" ht="18" customHeight="1" x14ac:dyDescent="0.3">
      <c r="A103" s="244"/>
      <c r="B103" s="223">
        <v>6</v>
      </c>
      <c r="C103" s="224">
        <v>2015</v>
      </c>
      <c r="D103" s="300">
        <v>114.8</v>
      </c>
      <c r="E103" s="301">
        <v>114.3</v>
      </c>
      <c r="F103" s="302">
        <v>115.4</v>
      </c>
      <c r="G103" s="303">
        <v>115</v>
      </c>
      <c r="H103" s="300">
        <v>115.8</v>
      </c>
      <c r="I103" s="304">
        <v>114</v>
      </c>
      <c r="J103" s="305">
        <v>114.9</v>
      </c>
      <c r="K103" s="302">
        <v>114.5</v>
      </c>
      <c r="L103" s="300">
        <v>114.3</v>
      </c>
      <c r="M103" s="304">
        <v>116.5</v>
      </c>
      <c r="N103" s="306">
        <v>115.1</v>
      </c>
      <c r="O103" s="307">
        <v>114.7</v>
      </c>
      <c r="P103" s="300">
        <v>113.8</v>
      </c>
      <c r="Q103" s="307">
        <v>114.7</v>
      </c>
      <c r="R103" s="248"/>
      <c r="S103" s="358">
        <v>100.9</v>
      </c>
      <c r="T103" s="359">
        <v>105.3</v>
      </c>
      <c r="U103" s="360">
        <v>103</v>
      </c>
      <c r="V103" s="336">
        <v>88.1</v>
      </c>
      <c r="W103" s="361">
        <v>115.9</v>
      </c>
      <c r="X103" s="359">
        <v>116.6</v>
      </c>
      <c r="Y103" s="360">
        <v>108.4</v>
      </c>
      <c r="Z103" s="363">
        <v>107.6</v>
      </c>
      <c r="AA103" s="278">
        <v>114</v>
      </c>
      <c r="AB103" s="244"/>
      <c r="AC103" s="263" t="s">
        <v>77</v>
      </c>
      <c r="AE103" s="410"/>
      <c r="AF103" s="411"/>
      <c r="AH103" s="411"/>
      <c r="AJ103" s="411"/>
      <c r="AL103" s="412"/>
      <c r="AM103" s="411"/>
      <c r="AN103" s="411"/>
      <c r="AP103" s="412"/>
      <c r="AQ103" s="411"/>
      <c r="AR103" s="411"/>
      <c r="AT103" s="412"/>
      <c r="AU103" s="411"/>
      <c r="AV103" s="411"/>
    </row>
    <row r="104" spans="1:48" ht="18" customHeight="1" x14ac:dyDescent="0.3">
      <c r="A104" s="244"/>
      <c r="B104" s="223">
        <v>7</v>
      </c>
      <c r="C104" s="224">
        <v>2015</v>
      </c>
      <c r="D104" s="300">
        <v>115.9</v>
      </c>
      <c r="E104" s="301">
        <v>115.5</v>
      </c>
      <c r="F104" s="302">
        <v>117.2</v>
      </c>
      <c r="G104" s="303">
        <v>116.3</v>
      </c>
      <c r="H104" s="300">
        <v>116.8</v>
      </c>
      <c r="I104" s="304">
        <v>115.7</v>
      </c>
      <c r="J104" s="305">
        <v>116.2</v>
      </c>
      <c r="K104" s="302">
        <v>116</v>
      </c>
      <c r="L104" s="300">
        <v>115.4</v>
      </c>
      <c r="M104" s="304">
        <v>117.8</v>
      </c>
      <c r="N104" s="306">
        <v>116.1</v>
      </c>
      <c r="O104" s="307">
        <v>116</v>
      </c>
      <c r="P104" s="300">
        <v>114.5</v>
      </c>
      <c r="Q104" s="307">
        <v>115.6</v>
      </c>
      <c r="R104" s="248"/>
      <c r="S104" s="358">
        <v>100.7</v>
      </c>
      <c r="T104" s="359">
        <v>105.4</v>
      </c>
      <c r="U104" s="360">
        <v>101.3</v>
      </c>
      <c r="V104" s="336">
        <v>87.3</v>
      </c>
      <c r="W104" s="361">
        <v>116.1</v>
      </c>
      <c r="X104" s="359">
        <v>117.2</v>
      </c>
      <c r="Y104" s="360">
        <v>107.8</v>
      </c>
      <c r="Z104" s="363">
        <v>108</v>
      </c>
      <c r="AA104" s="278">
        <v>114.4</v>
      </c>
      <c r="AB104" s="244"/>
      <c r="AC104" s="263" t="s">
        <v>77</v>
      </c>
      <c r="AE104" s="410"/>
      <c r="AF104" s="411"/>
      <c r="AH104" s="411"/>
      <c r="AJ104" s="411"/>
      <c r="AL104" s="412"/>
      <c r="AM104" s="411"/>
      <c r="AN104" s="411"/>
      <c r="AP104" s="412"/>
      <c r="AQ104" s="411"/>
      <c r="AR104" s="411"/>
      <c r="AT104" s="412"/>
      <c r="AU104" s="411"/>
      <c r="AV104" s="411"/>
    </row>
    <row r="105" spans="1:48" ht="18" customHeight="1" x14ac:dyDescent="0.3">
      <c r="A105" s="244"/>
      <c r="B105" s="223">
        <v>8</v>
      </c>
      <c r="C105" s="224">
        <v>2015</v>
      </c>
      <c r="D105" s="300">
        <v>115.9</v>
      </c>
      <c r="E105" s="301">
        <v>115.6</v>
      </c>
      <c r="F105" s="302">
        <v>117.3</v>
      </c>
      <c r="G105" s="303">
        <v>116.3</v>
      </c>
      <c r="H105" s="300">
        <v>116.9</v>
      </c>
      <c r="I105" s="304">
        <v>115.5</v>
      </c>
      <c r="J105" s="305">
        <v>116.3</v>
      </c>
      <c r="K105" s="302">
        <v>115.9</v>
      </c>
      <c r="L105" s="300">
        <v>115.6</v>
      </c>
      <c r="M105" s="304">
        <v>117.8</v>
      </c>
      <c r="N105" s="306">
        <v>116.2</v>
      </c>
      <c r="O105" s="307">
        <v>116</v>
      </c>
      <c r="P105" s="300">
        <v>114.6</v>
      </c>
      <c r="Q105" s="307">
        <v>115.7</v>
      </c>
      <c r="R105" s="248"/>
      <c r="S105" s="358">
        <v>101.1</v>
      </c>
      <c r="T105" s="359">
        <v>106</v>
      </c>
      <c r="U105" s="360">
        <v>101.2</v>
      </c>
      <c r="V105" s="336">
        <v>81.8</v>
      </c>
      <c r="W105" s="361">
        <v>116.3</v>
      </c>
      <c r="X105" s="359">
        <v>117.8</v>
      </c>
      <c r="Y105" s="360">
        <v>108.1</v>
      </c>
      <c r="Z105" s="363">
        <v>101</v>
      </c>
      <c r="AA105" s="278">
        <v>106.8</v>
      </c>
      <c r="AB105" s="244"/>
      <c r="AC105" s="263" t="s">
        <v>77</v>
      </c>
      <c r="AE105" s="410"/>
      <c r="AF105" s="411"/>
      <c r="AH105" s="411"/>
      <c r="AJ105" s="411"/>
      <c r="AL105" s="412"/>
      <c r="AM105" s="411"/>
      <c r="AN105" s="411"/>
      <c r="AP105" s="412"/>
      <c r="AQ105" s="411"/>
      <c r="AR105" s="411"/>
      <c r="AT105" s="412"/>
      <c r="AU105" s="411"/>
      <c r="AV105" s="411"/>
    </row>
    <row r="106" spans="1:48" ht="18" customHeight="1" x14ac:dyDescent="0.3">
      <c r="A106" s="244"/>
      <c r="B106" s="223">
        <v>9</v>
      </c>
      <c r="C106" s="224">
        <v>2015</v>
      </c>
      <c r="D106" s="300">
        <v>116.4</v>
      </c>
      <c r="E106" s="301">
        <v>115.7</v>
      </c>
      <c r="F106" s="302">
        <v>117.3</v>
      </c>
      <c r="G106" s="303">
        <v>116.4</v>
      </c>
      <c r="H106" s="300">
        <v>116.8</v>
      </c>
      <c r="I106" s="304">
        <v>115.3</v>
      </c>
      <c r="J106" s="305">
        <v>116.2</v>
      </c>
      <c r="K106" s="302">
        <v>115.9</v>
      </c>
      <c r="L106" s="300">
        <v>115.3</v>
      </c>
      <c r="M106" s="304">
        <v>117.8</v>
      </c>
      <c r="N106" s="306">
        <v>116.3</v>
      </c>
      <c r="O106" s="307">
        <v>115.8</v>
      </c>
      <c r="P106" s="300">
        <v>114.4</v>
      </c>
      <c r="Q106" s="307">
        <v>115.9</v>
      </c>
      <c r="R106" s="248"/>
      <c r="S106" s="358">
        <v>100.6</v>
      </c>
      <c r="T106" s="359">
        <v>105.7</v>
      </c>
      <c r="U106" s="360">
        <v>98.1</v>
      </c>
      <c r="V106" s="336">
        <v>78.8</v>
      </c>
      <c r="W106" s="361">
        <v>117.4</v>
      </c>
      <c r="X106" s="359">
        <v>118.3</v>
      </c>
      <c r="Y106" s="360">
        <v>108.9</v>
      </c>
      <c r="Z106" s="363">
        <v>96</v>
      </c>
      <c r="AA106" s="278">
        <v>101.4</v>
      </c>
      <c r="AB106" s="244"/>
      <c r="AC106" s="263" t="s">
        <v>77</v>
      </c>
      <c r="AE106" s="410"/>
      <c r="AF106" s="411"/>
      <c r="AH106" s="411"/>
      <c r="AJ106" s="411"/>
      <c r="AL106" s="412"/>
      <c r="AM106" s="411"/>
      <c r="AN106" s="411"/>
      <c r="AP106" s="412"/>
      <c r="AQ106" s="411"/>
      <c r="AR106" s="411"/>
      <c r="AT106" s="412"/>
      <c r="AU106" s="411"/>
      <c r="AV106" s="411"/>
    </row>
    <row r="107" spans="1:48" ht="18" customHeight="1" x14ac:dyDescent="0.3">
      <c r="A107" s="244"/>
      <c r="B107" s="223">
        <v>10</v>
      </c>
      <c r="C107" s="224">
        <v>2015</v>
      </c>
      <c r="D107" s="300">
        <v>116.8</v>
      </c>
      <c r="E107" s="301">
        <v>116</v>
      </c>
      <c r="F107" s="302">
        <v>117.5</v>
      </c>
      <c r="G107" s="303">
        <v>116.6</v>
      </c>
      <c r="H107" s="300">
        <v>116.9</v>
      </c>
      <c r="I107" s="304">
        <v>115.6</v>
      </c>
      <c r="J107" s="305">
        <v>116.4</v>
      </c>
      <c r="K107" s="302">
        <v>116.1</v>
      </c>
      <c r="L107" s="300">
        <v>115.4</v>
      </c>
      <c r="M107" s="304">
        <v>118</v>
      </c>
      <c r="N107" s="306">
        <v>116.7</v>
      </c>
      <c r="O107" s="307">
        <v>116</v>
      </c>
      <c r="P107" s="300">
        <v>114.4</v>
      </c>
      <c r="Q107" s="307">
        <v>116</v>
      </c>
      <c r="R107" s="248"/>
      <c r="S107" s="358">
        <v>100.9</v>
      </c>
      <c r="T107" s="359">
        <v>105.7</v>
      </c>
      <c r="U107" s="360">
        <v>95.6</v>
      </c>
      <c r="V107" s="336">
        <v>82.8</v>
      </c>
      <c r="W107" s="361">
        <v>119.3</v>
      </c>
      <c r="X107" s="359">
        <v>119.5</v>
      </c>
      <c r="Y107" s="360">
        <v>109.7</v>
      </c>
      <c r="Z107" s="363">
        <v>101.5</v>
      </c>
      <c r="AA107" s="278">
        <v>106.7</v>
      </c>
      <c r="AB107" s="244"/>
      <c r="AC107" s="263" t="s">
        <v>77</v>
      </c>
      <c r="AE107" s="410"/>
      <c r="AF107" s="411"/>
      <c r="AH107" s="411"/>
      <c r="AJ107" s="411"/>
      <c r="AL107" s="412"/>
      <c r="AM107" s="411"/>
      <c r="AN107" s="411"/>
      <c r="AP107" s="412"/>
      <c r="AQ107" s="411"/>
      <c r="AR107" s="411"/>
      <c r="AT107" s="412"/>
      <c r="AU107" s="411"/>
      <c r="AV107" s="411"/>
    </row>
    <row r="108" spans="1:48" ht="18" customHeight="1" x14ac:dyDescent="0.3">
      <c r="A108" s="244"/>
      <c r="B108" s="223">
        <v>11</v>
      </c>
      <c r="C108" s="224">
        <v>2015</v>
      </c>
      <c r="D108" s="300">
        <v>117</v>
      </c>
      <c r="E108" s="301">
        <v>116.1</v>
      </c>
      <c r="F108" s="302">
        <v>117.4</v>
      </c>
      <c r="G108" s="303">
        <v>116.6</v>
      </c>
      <c r="H108" s="300">
        <v>117.1</v>
      </c>
      <c r="I108" s="304">
        <v>115.4</v>
      </c>
      <c r="J108" s="305">
        <v>116.5</v>
      </c>
      <c r="K108" s="302">
        <v>116</v>
      </c>
      <c r="L108" s="300">
        <v>115.6</v>
      </c>
      <c r="M108" s="304">
        <v>118</v>
      </c>
      <c r="N108" s="306">
        <v>116.8</v>
      </c>
      <c r="O108" s="307">
        <v>116.1</v>
      </c>
      <c r="P108" s="300">
        <v>114.8</v>
      </c>
      <c r="Q108" s="307">
        <v>116.2</v>
      </c>
      <c r="R108" s="248"/>
      <c r="S108" s="358">
        <v>100.9</v>
      </c>
      <c r="T108" s="359">
        <v>105.6</v>
      </c>
      <c r="U108" s="360">
        <v>95.9</v>
      </c>
      <c r="V108" s="336">
        <v>82.1</v>
      </c>
      <c r="W108" s="361">
        <v>119.4</v>
      </c>
      <c r="X108" s="359">
        <v>120.2</v>
      </c>
      <c r="Y108" s="360">
        <v>110.1</v>
      </c>
      <c r="Z108" s="363">
        <v>100.6</v>
      </c>
      <c r="AA108" s="278">
        <v>105.8</v>
      </c>
      <c r="AB108" s="244"/>
      <c r="AC108" s="263" t="s">
        <v>77</v>
      </c>
      <c r="AE108" s="410"/>
      <c r="AF108" s="411"/>
      <c r="AH108" s="411"/>
      <c r="AJ108" s="411"/>
      <c r="AL108" s="412"/>
      <c r="AM108" s="411"/>
      <c r="AN108" s="411"/>
      <c r="AP108" s="412"/>
      <c r="AQ108" s="411"/>
      <c r="AR108" s="411"/>
      <c r="AT108" s="412"/>
      <c r="AU108" s="411"/>
      <c r="AV108" s="411"/>
    </row>
    <row r="109" spans="1:48" ht="18" customHeight="1" x14ac:dyDescent="0.3">
      <c r="A109" s="244"/>
      <c r="B109" s="225">
        <v>12</v>
      </c>
      <c r="C109" s="226">
        <v>2015</v>
      </c>
      <c r="D109" s="308">
        <v>117.4</v>
      </c>
      <c r="E109" s="309">
        <v>116.3</v>
      </c>
      <c r="F109" s="310">
        <v>117.7</v>
      </c>
      <c r="G109" s="311">
        <v>117.2</v>
      </c>
      <c r="H109" s="308">
        <v>117.7</v>
      </c>
      <c r="I109" s="312">
        <v>115.7</v>
      </c>
      <c r="J109" s="313">
        <v>117</v>
      </c>
      <c r="K109" s="310">
        <v>116.3</v>
      </c>
      <c r="L109" s="308">
        <v>116.1</v>
      </c>
      <c r="M109" s="312">
        <v>118.4</v>
      </c>
      <c r="N109" s="314">
        <v>117.2</v>
      </c>
      <c r="O109" s="315">
        <v>116.4</v>
      </c>
      <c r="P109" s="308">
        <v>115.1</v>
      </c>
      <c r="Q109" s="315">
        <v>116.7</v>
      </c>
      <c r="R109" s="248"/>
      <c r="S109" s="364">
        <v>100.6</v>
      </c>
      <c r="T109" s="365">
        <v>106</v>
      </c>
      <c r="U109" s="366">
        <v>97.6</v>
      </c>
      <c r="V109" s="346">
        <v>81.900000000000006</v>
      </c>
      <c r="W109" s="367">
        <v>119.4</v>
      </c>
      <c r="X109" s="365">
        <v>120.3</v>
      </c>
      <c r="Y109" s="366">
        <v>110.2</v>
      </c>
      <c r="Z109" s="369">
        <v>100.4</v>
      </c>
      <c r="AA109" s="286">
        <v>105.4</v>
      </c>
      <c r="AB109" s="244"/>
      <c r="AC109" s="263" t="s">
        <v>77</v>
      </c>
      <c r="AE109" s="410"/>
      <c r="AF109" s="411"/>
      <c r="AH109" s="411"/>
      <c r="AJ109" s="411"/>
      <c r="AL109" s="412"/>
      <c r="AM109" s="411"/>
      <c r="AN109" s="411"/>
      <c r="AP109" s="412"/>
      <c r="AQ109" s="411"/>
      <c r="AR109" s="411"/>
      <c r="AT109" s="412"/>
      <c r="AU109" s="411"/>
      <c r="AV109" s="411"/>
    </row>
    <row r="110" spans="1:48" ht="18" customHeight="1" x14ac:dyDescent="0.3">
      <c r="A110" s="244"/>
      <c r="B110" s="221">
        <v>1</v>
      </c>
      <c r="C110" s="222">
        <v>2016</v>
      </c>
      <c r="D110" s="316">
        <v>118.1</v>
      </c>
      <c r="E110" s="317">
        <v>117.2</v>
      </c>
      <c r="F110" s="318">
        <v>118.4</v>
      </c>
      <c r="G110" s="319">
        <v>117.7</v>
      </c>
      <c r="H110" s="316">
        <v>119.1</v>
      </c>
      <c r="I110" s="320">
        <v>116.1</v>
      </c>
      <c r="J110" s="321">
        <v>117.7</v>
      </c>
      <c r="K110" s="318">
        <v>117</v>
      </c>
      <c r="L110" s="316">
        <v>117</v>
      </c>
      <c r="M110" s="320">
        <v>119.3</v>
      </c>
      <c r="N110" s="322">
        <v>118.1</v>
      </c>
      <c r="O110" s="323">
        <v>117.5</v>
      </c>
      <c r="P110" s="316">
        <v>116.5</v>
      </c>
      <c r="Q110" s="323">
        <v>117.6</v>
      </c>
      <c r="R110" s="248"/>
      <c r="S110" s="351">
        <v>103.4</v>
      </c>
      <c r="T110" s="352">
        <v>108.3</v>
      </c>
      <c r="U110" s="353">
        <v>96.8</v>
      </c>
      <c r="V110" s="354">
        <v>75.8</v>
      </c>
      <c r="W110" s="355">
        <v>125.4</v>
      </c>
      <c r="X110" s="352">
        <v>124.3</v>
      </c>
      <c r="Y110" s="353">
        <v>113.5</v>
      </c>
      <c r="Z110" s="357">
        <v>93.4</v>
      </c>
      <c r="AA110" s="294">
        <v>97.8</v>
      </c>
      <c r="AB110" s="244"/>
      <c r="AC110" s="263" t="s">
        <v>77</v>
      </c>
      <c r="AE110" s="410"/>
      <c r="AF110" s="411"/>
      <c r="AH110" s="411"/>
      <c r="AJ110" s="411"/>
      <c r="AL110" s="412"/>
      <c r="AM110" s="411"/>
      <c r="AN110" s="411"/>
      <c r="AP110" s="412"/>
      <c r="AQ110" s="411"/>
      <c r="AR110" s="411"/>
      <c r="AT110" s="412"/>
      <c r="AU110" s="411"/>
      <c r="AV110" s="411"/>
    </row>
    <row r="111" spans="1:48" ht="18" customHeight="1" x14ac:dyDescent="0.3">
      <c r="A111" s="244"/>
      <c r="B111" s="223">
        <v>2</v>
      </c>
      <c r="C111" s="224">
        <v>2016</v>
      </c>
      <c r="D111" s="300">
        <v>119.4</v>
      </c>
      <c r="E111" s="301">
        <v>119.1</v>
      </c>
      <c r="F111" s="302">
        <v>120.3</v>
      </c>
      <c r="G111" s="303">
        <v>118.9</v>
      </c>
      <c r="H111" s="300">
        <v>120.7</v>
      </c>
      <c r="I111" s="304">
        <v>117.6</v>
      </c>
      <c r="J111" s="305">
        <v>119.7</v>
      </c>
      <c r="K111" s="302">
        <v>118.6</v>
      </c>
      <c r="L111" s="300">
        <v>118.4</v>
      </c>
      <c r="M111" s="304">
        <v>120.9</v>
      </c>
      <c r="N111" s="306">
        <v>119.9</v>
      </c>
      <c r="O111" s="307">
        <v>119</v>
      </c>
      <c r="P111" s="300">
        <v>118.2</v>
      </c>
      <c r="Q111" s="307">
        <v>119</v>
      </c>
      <c r="R111" s="248"/>
      <c r="S111" s="358">
        <v>105.6</v>
      </c>
      <c r="T111" s="359">
        <v>111.4</v>
      </c>
      <c r="U111" s="360">
        <v>97.2</v>
      </c>
      <c r="V111" s="336">
        <v>71</v>
      </c>
      <c r="W111" s="361">
        <v>125.9</v>
      </c>
      <c r="X111" s="359">
        <v>123.9</v>
      </c>
      <c r="Y111" s="360">
        <v>114.1</v>
      </c>
      <c r="Z111" s="363">
        <v>87.6</v>
      </c>
      <c r="AA111" s="278">
        <v>91.5</v>
      </c>
      <c r="AB111" s="244"/>
      <c r="AC111" s="263" t="s">
        <v>77</v>
      </c>
      <c r="AE111" s="410"/>
      <c r="AF111" s="411"/>
      <c r="AH111" s="411"/>
      <c r="AJ111" s="411"/>
      <c r="AL111" s="412"/>
      <c r="AM111" s="411"/>
      <c r="AN111" s="411"/>
      <c r="AP111" s="412"/>
      <c r="AQ111" s="411"/>
      <c r="AR111" s="411"/>
      <c r="AT111" s="412"/>
      <c r="AU111" s="411"/>
      <c r="AV111" s="411"/>
    </row>
    <row r="112" spans="1:48" ht="18" customHeight="1" x14ac:dyDescent="0.3">
      <c r="A112" s="244"/>
      <c r="B112" s="223">
        <v>3</v>
      </c>
      <c r="C112" s="224">
        <v>2016</v>
      </c>
      <c r="D112" s="300">
        <f>'NEWTABLE A Indices 2012=100'!D112</f>
        <v>120.4</v>
      </c>
      <c r="E112" s="301">
        <f>'NEWTABLE A Indices 2012=100'!E112</f>
        <v>120.1</v>
      </c>
      <c r="F112" s="302">
        <f>'NEWTABLE A Indices 2012=100'!F112</f>
        <v>121.2</v>
      </c>
      <c r="G112" s="303">
        <f>'NEWTABLE A Indices 2012=100'!G112</f>
        <v>119.7</v>
      </c>
      <c r="H112" s="300">
        <f>'NEWTABLE A Indices 2012=100'!H112</f>
        <v>121.7</v>
      </c>
      <c r="I112" s="304">
        <f>'NEWTABLE A Indices 2012=100'!I112</f>
        <v>118.5</v>
      </c>
      <c r="J112" s="305">
        <f>'NEWTABLE A Indices 2012=100'!J112</f>
        <v>120.5</v>
      </c>
      <c r="K112" s="302">
        <f>'NEWTABLE A Indices 2012=100'!K112</f>
        <v>119.5</v>
      </c>
      <c r="L112" s="300">
        <f>'NEWTABLE A Indices 2012=100'!L112</f>
        <v>119</v>
      </c>
      <c r="M112" s="304">
        <f>'NEWTABLE A Indices 2012=100'!M112</f>
        <v>121.6</v>
      </c>
      <c r="N112" s="306">
        <f>'NEWTABLE A Indices 2012=100'!N112</f>
        <v>120.8</v>
      </c>
      <c r="O112" s="307">
        <f>'NEWTABLE A Indices 2012=100'!O112</f>
        <v>119.8</v>
      </c>
      <c r="P112" s="300">
        <f>'NEWTABLE A Indices 2012=100'!P112</f>
        <v>119</v>
      </c>
      <c r="Q112" s="307">
        <f>'NEWTABLE A Indices 2012=100'!Q112</f>
        <v>120.1</v>
      </c>
      <c r="R112" s="248"/>
      <c r="S112" s="358">
        <f>'NEWTABLE A Indices 2012=100'!S112</f>
        <v>105.8</v>
      </c>
      <c r="T112" s="359">
        <f>'NEWTABLE A Indices 2012=100'!T112</f>
        <v>109.9</v>
      </c>
      <c r="U112" s="360">
        <f>'NEWTABLE A Indices 2012=100'!U112</f>
        <v>95.6</v>
      </c>
      <c r="V112" s="436" t="s">
        <v>105</v>
      </c>
      <c r="W112" s="361">
        <f>'NEWTABLE A Indices 2012=100'!W112</f>
        <v>127.2</v>
      </c>
      <c r="X112" s="359">
        <f>'NEWTABLE A Indices 2012=100'!X112</f>
        <v>125.2</v>
      </c>
      <c r="Y112" s="360">
        <f>'NEWTABLE A Indices 2012=100'!Y112</f>
        <v>115.3</v>
      </c>
      <c r="Z112" s="437" t="s">
        <v>105</v>
      </c>
      <c r="AA112" s="438" t="s">
        <v>105</v>
      </c>
      <c r="AB112" s="244"/>
      <c r="AC112" s="263" t="s">
        <v>77</v>
      </c>
      <c r="AE112" s="410"/>
      <c r="AF112" s="411"/>
      <c r="AH112" s="411"/>
      <c r="AJ112" s="411"/>
      <c r="AL112" s="412"/>
      <c r="AM112" s="411"/>
      <c r="AN112" s="411"/>
      <c r="AP112" s="412"/>
      <c r="AQ112" s="411"/>
      <c r="AR112" s="411"/>
      <c r="AT112" s="412"/>
      <c r="AU112" s="411"/>
      <c r="AV112" s="411"/>
    </row>
    <row r="113" spans="1:48" ht="15" x14ac:dyDescent="0.3">
      <c r="A113" s="244"/>
      <c r="B113" s="223"/>
      <c r="C113" s="224"/>
      <c r="D113" s="300"/>
      <c r="E113" s="301"/>
      <c r="F113" s="302"/>
      <c r="G113" s="303"/>
      <c r="H113" s="300"/>
      <c r="I113" s="304"/>
      <c r="J113" s="305"/>
      <c r="K113" s="302"/>
      <c r="L113" s="300"/>
      <c r="M113" s="304"/>
      <c r="N113" s="306"/>
      <c r="O113" s="307"/>
      <c r="P113" s="300"/>
      <c r="Q113" s="307"/>
      <c r="R113" s="248"/>
      <c r="S113" s="358"/>
      <c r="T113" s="359"/>
      <c r="U113" s="360"/>
      <c r="V113" s="336"/>
      <c r="W113" s="361"/>
      <c r="X113" s="359"/>
      <c r="Y113" s="360"/>
      <c r="Z113" s="363"/>
      <c r="AA113" s="278"/>
      <c r="AB113" s="244"/>
      <c r="AC113" s="263"/>
    </row>
    <row r="114" spans="1:48" ht="18" customHeight="1" x14ac:dyDescent="0.3">
      <c r="A114" s="244"/>
      <c r="B114" s="223"/>
      <c r="C114" s="224"/>
      <c r="D114" s="479" t="s">
        <v>107</v>
      </c>
      <c r="E114" s="480"/>
      <c r="F114" s="480"/>
      <c r="G114" s="480"/>
      <c r="H114" s="480"/>
      <c r="I114" s="480"/>
      <c r="J114" s="480"/>
      <c r="K114" s="480"/>
      <c r="L114" s="480"/>
      <c r="M114" s="480"/>
      <c r="N114" s="480"/>
      <c r="O114" s="480"/>
      <c r="P114" s="480"/>
      <c r="Q114" s="481"/>
      <c r="R114" s="248"/>
      <c r="S114" s="479" t="s">
        <v>107</v>
      </c>
      <c r="T114" s="480"/>
      <c r="U114" s="480"/>
      <c r="V114" s="480"/>
      <c r="W114" s="480"/>
      <c r="X114" s="480"/>
      <c r="Y114" s="480"/>
      <c r="Z114" s="480"/>
      <c r="AA114" s="481"/>
      <c r="AB114" s="244"/>
      <c r="AC114" s="263"/>
      <c r="AL114" s="412">
        <v>41671</v>
      </c>
      <c r="AM114" s="409" t="e">
        <f>AM88/$AM$87-1</f>
        <v>#DIV/0!</v>
      </c>
      <c r="AN114" s="409" t="e">
        <f>AN88/$AN$87-1</f>
        <v>#DIV/0!</v>
      </c>
      <c r="AQ114" s="409"/>
    </row>
    <row r="115" spans="1:48" ht="10.5" customHeight="1" x14ac:dyDescent="0.3">
      <c r="A115" s="244"/>
      <c r="B115" s="225"/>
      <c r="C115" s="226"/>
      <c r="D115" s="308"/>
      <c r="E115" s="309"/>
      <c r="F115" s="310"/>
      <c r="G115" s="311"/>
      <c r="H115" s="308"/>
      <c r="I115" s="312"/>
      <c r="J115" s="313"/>
      <c r="K115" s="310"/>
      <c r="L115" s="308"/>
      <c r="M115" s="312"/>
      <c r="N115" s="314"/>
      <c r="O115" s="315"/>
      <c r="P115" s="308"/>
      <c r="Q115" s="315"/>
      <c r="R115" s="248"/>
      <c r="S115" s="364"/>
      <c r="T115" s="365"/>
      <c r="U115" s="366"/>
      <c r="V115" s="346"/>
      <c r="W115" s="367"/>
      <c r="X115" s="365"/>
      <c r="Y115" s="366"/>
      <c r="Z115" s="369"/>
      <c r="AA115" s="286"/>
      <c r="AB115" s="244"/>
      <c r="AC115" s="263"/>
      <c r="AL115" s="412">
        <v>41883</v>
      </c>
      <c r="AM115" s="409" t="e">
        <f t="shared" ref="AM115:AM131" si="0">AM95/$AM$87-1</f>
        <v>#DIV/0!</v>
      </c>
      <c r="AN115" s="409" t="e">
        <f t="shared" ref="AN115:AN131" si="1">AN95/$AN$87-1</f>
        <v>#DIV/0!</v>
      </c>
      <c r="AQ115" s="409" t="e">
        <f t="shared" ref="AQ115:AQ131" si="2">AQ95/$AQ$88-1</f>
        <v>#DIV/0!</v>
      </c>
      <c r="AR115" s="409" t="e">
        <f t="shared" ref="AR115:AR131" si="3">AR95/$AR$88-1</f>
        <v>#DIV/0!</v>
      </c>
      <c r="AU115" s="409" t="e">
        <f t="shared" ref="AU115:AU131" si="4">AU95/$AU$88-1</f>
        <v>#DIV/0!</v>
      </c>
      <c r="AV115" s="409" t="e">
        <f t="shared" ref="AV115:AV131" si="5">AV95/$AV$88-1</f>
        <v>#DIV/0!</v>
      </c>
    </row>
    <row r="116" spans="1:48" ht="10.5" customHeight="1" x14ac:dyDescent="0.3">
      <c r="A116" s="265"/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7"/>
      <c r="AC116" s="263"/>
      <c r="AL116" s="412">
        <v>41913</v>
      </c>
      <c r="AM116" s="409" t="e">
        <f t="shared" si="0"/>
        <v>#DIV/0!</v>
      </c>
      <c r="AN116" s="409" t="e">
        <f t="shared" si="1"/>
        <v>#DIV/0!</v>
      </c>
      <c r="AQ116" s="409" t="e">
        <f t="shared" si="2"/>
        <v>#DIV/0!</v>
      </c>
      <c r="AR116" s="409" t="e">
        <f t="shared" si="3"/>
        <v>#DIV/0!</v>
      </c>
      <c r="AU116" s="409" t="e">
        <f t="shared" si="4"/>
        <v>#DIV/0!</v>
      </c>
      <c r="AV116" s="409" t="e">
        <f t="shared" si="5"/>
        <v>#DIV/0!</v>
      </c>
    </row>
    <row r="117" spans="1:48" ht="10.5" hidden="1" customHeight="1" thickBot="1" x14ac:dyDescent="0.35">
      <c r="A117" s="244"/>
      <c r="B117" s="249"/>
      <c r="C117" s="249"/>
      <c r="D117" s="249"/>
      <c r="E117" s="249"/>
      <c r="F117" s="249"/>
      <c r="G117" s="249"/>
      <c r="H117" s="249"/>
      <c r="I117" s="249"/>
      <c r="J117" s="249"/>
      <c r="K117" s="249"/>
      <c r="L117" s="249"/>
      <c r="M117" s="249"/>
      <c r="N117" s="249"/>
      <c r="O117" s="249"/>
      <c r="P117" s="249"/>
      <c r="Q117" s="249"/>
      <c r="R117" s="249"/>
      <c r="S117" s="249"/>
      <c r="T117" s="249"/>
      <c r="U117" s="249"/>
      <c r="V117" s="249"/>
      <c r="W117" s="249"/>
      <c r="X117" s="249"/>
      <c r="Y117" s="249"/>
      <c r="Z117" s="249"/>
      <c r="AA117" s="249"/>
      <c r="AB117" s="249"/>
      <c r="AC117" s="201"/>
      <c r="AL117" s="412">
        <v>41944</v>
      </c>
      <c r="AM117" s="409" t="e">
        <f t="shared" si="0"/>
        <v>#DIV/0!</v>
      </c>
      <c r="AN117" s="409" t="e">
        <f t="shared" si="1"/>
        <v>#DIV/0!</v>
      </c>
      <c r="AQ117" s="409" t="e">
        <f t="shared" si="2"/>
        <v>#DIV/0!</v>
      </c>
      <c r="AR117" s="409" t="e">
        <f t="shared" si="3"/>
        <v>#DIV/0!</v>
      </c>
      <c r="AU117" s="409" t="e">
        <f t="shared" si="4"/>
        <v>#DIV/0!</v>
      </c>
      <c r="AV117" s="409" t="e">
        <f t="shared" si="5"/>
        <v>#DIV/0!</v>
      </c>
    </row>
    <row r="118" spans="1:48" s="217" customFormat="1" ht="10.5" hidden="1" customHeight="1" thickBot="1" x14ac:dyDescent="0.35">
      <c r="A118" s="251"/>
      <c r="B118" s="251"/>
      <c r="C118" s="252"/>
      <c r="D118" s="207">
        <v>0.79176563740000006</v>
      </c>
      <c r="E118" s="207">
        <v>0.78616352199999995</v>
      </c>
      <c r="F118" s="207">
        <v>0.78802206460000002</v>
      </c>
      <c r="G118" s="207">
        <v>0.77519379840000002</v>
      </c>
      <c r="H118" s="207">
        <v>0.77579519009999998</v>
      </c>
      <c r="I118" s="207">
        <v>0.8006405124</v>
      </c>
      <c r="J118" s="207">
        <v>0.78554595439999997</v>
      </c>
      <c r="K118" s="207">
        <v>0.79491255959999996</v>
      </c>
      <c r="L118" s="207">
        <v>0.77279752700000004</v>
      </c>
      <c r="M118" s="207">
        <v>0.78864353310000002</v>
      </c>
      <c r="N118" s="207">
        <v>0.80385852089999998</v>
      </c>
      <c r="O118" s="207">
        <v>0.78247261349999997</v>
      </c>
      <c r="P118" s="207">
        <v>0.78740157479999995</v>
      </c>
      <c r="Q118" s="207">
        <v>0.79744816590000001</v>
      </c>
      <c r="R118" s="243"/>
      <c r="S118" s="216">
        <v>2.2719999999999998</v>
      </c>
      <c r="T118" s="213">
        <v>2.89</v>
      </c>
      <c r="U118" s="218">
        <v>3.22</v>
      </c>
      <c r="V118" s="219">
        <v>4.149</v>
      </c>
      <c r="W118" s="216">
        <v>1.909</v>
      </c>
      <c r="X118" s="213">
        <v>2.1960000000000002</v>
      </c>
      <c r="Y118" s="218">
        <v>1.992</v>
      </c>
      <c r="Z118" s="216">
        <v>4.24</v>
      </c>
      <c r="AA118" s="220">
        <v>4.2050000000000001</v>
      </c>
      <c r="AB118" s="251"/>
      <c r="AL118" s="412">
        <v>41974</v>
      </c>
      <c r="AM118" s="409" t="e">
        <f t="shared" si="0"/>
        <v>#DIV/0!</v>
      </c>
      <c r="AN118" s="409" t="e">
        <f t="shared" si="1"/>
        <v>#DIV/0!</v>
      </c>
      <c r="AO118" s="197"/>
      <c r="AP118" s="197"/>
      <c r="AQ118" s="409" t="e">
        <f t="shared" si="2"/>
        <v>#DIV/0!</v>
      </c>
      <c r="AR118" s="409" t="e">
        <f t="shared" si="3"/>
        <v>#DIV/0!</v>
      </c>
      <c r="AS118" s="197"/>
      <c r="AT118" s="197"/>
      <c r="AU118" s="409" t="e">
        <f t="shared" si="4"/>
        <v>#DIV/0!</v>
      </c>
      <c r="AV118" s="409" t="e">
        <f t="shared" si="5"/>
        <v>#DIV/0!</v>
      </c>
    </row>
    <row r="119" spans="1:48" ht="15" hidden="1" customHeight="1" x14ac:dyDescent="0.3">
      <c r="A119" s="244"/>
      <c r="B119" s="244"/>
      <c r="C119" s="244"/>
      <c r="D119" s="244"/>
      <c r="E119" s="244"/>
      <c r="F119" s="244"/>
      <c r="G119" s="244"/>
      <c r="H119" s="244"/>
      <c r="I119" s="244"/>
      <c r="J119" s="244"/>
      <c r="K119" s="244"/>
      <c r="L119" s="244"/>
      <c r="M119" s="244"/>
      <c r="N119" s="244"/>
      <c r="O119" s="244"/>
      <c r="P119" s="244"/>
      <c r="Q119" s="244"/>
      <c r="R119" s="244"/>
      <c r="S119" s="244"/>
      <c r="T119" s="244"/>
      <c r="U119" s="244"/>
      <c r="V119" s="244"/>
      <c r="W119" s="244"/>
      <c r="X119" s="244"/>
      <c r="Y119" s="244"/>
      <c r="Z119" s="244"/>
      <c r="AA119" s="244"/>
      <c r="AB119" s="244"/>
      <c r="AL119" s="412">
        <v>42005</v>
      </c>
      <c r="AM119" s="409" t="e">
        <f t="shared" si="0"/>
        <v>#DIV/0!</v>
      </c>
      <c r="AN119" s="409" t="e">
        <f t="shared" si="1"/>
        <v>#DIV/0!</v>
      </c>
      <c r="AQ119" s="409" t="e">
        <f t="shared" si="2"/>
        <v>#DIV/0!</v>
      </c>
      <c r="AR119" s="409" t="e">
        <f t="shared" si="3"/>
        <v>#DIV/0!</v>
      </c>
      <c r="AU119" s="409" t="e">
        <f t="shared" si="4"/>
        <v>#DIV/0!</v>
      </c>
      <c r="AV119" s="409" t="e">
        <f t="shared" si="5"/>
        <v>#DIV/0!</v>
      </c>
    </row>
    <row r="120" spans="1:48" ht="15" hidden="1" customHeight="1" x14ac:dyDescent="0.3">
      <c r="AL120" s="412">
        <v>42036</v>
      </c>
      <c r="AM120" s="409" t="e">
        <f t="shared" si="0"/>
        <v>#DIV/0!</v>
      </c>
      <c r="AN120" s="409" t="e">
        <f t="shared" si="1"/>
        <v>#DIV/0!</v>
      </c>
      <c r="AQ120" s="409" t="e">
        <f t="shared" si="2"/>
        <v>#DIV/0!</v>
      </c>
      <c r="AR120" s="409" t="e">
        <f t="shared" si="3"/>
        <v>#DIV/0!</v>
      </c>
      <c r="AU120" s="409" t="e">
        <f t="shared" si="4"/>
        <v>#DIV/0!</v>
      </c>
      <c r="AV120" s="409" t="e">
        <f t="shared" si="5"/>
        <v>#DIV/0!</v>
      </c>
    </row>
    <row r="121" spans="1:48" ht="15" customHeight="1" x14ac:dyDescent="0.3"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S121" s="409"/>
      <c r="T121" s="409"/>
      <c r="U121" s="409"/>
      <c r="V121" s="409"/>
      <c r="W121" s="409"/>
      <c r="X121" s="409"/>
      <c r="Y121" s="409"/>
      <c r="Z121" s="409"/>
      <c r="AA121" s="409"/>
      <c r="AL121" s="412">
        <v>42064</v>
      </c>
      <c r="AM121" s="409" t="e">
        <f t="shared" si="0"/>
        <v>#DIV/0!</v>
      </c>
      <c r="AN121" s="409" t="e">
        <f t="shared" si="1"/>
        <v>#DIV/0!</v>
      </c>
      <c r="AQ121" s="409" t="e">
        <f t="shared" si="2"/>
        <v>#DIV/0!</v>
      </c>
      <c r="AR121" s="409" t="e">
        <f t="shared" si="3"/>
        <v>#DIV/0!</v>
      </c>
      <c r="AU121" s="409" t="e">
        <f t="shared" si="4"/>
        <v>#DIV/0!</v>
      </c>
      <c r="AV121" s="409" t="e">
        <f t="shared" si="5"/>
        <v>#DIV/0!</v>
      </c>
    </row>
    <row r="122" spans="1:48" ht="18" customHeight="1" x14ac:dyDescent="0.3"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S122" s="409"/>
      <c r="T122" s="409"/>
      <c r="U122" s="409"/>
      <c r="V122" s="409"/>
      <c r="W122" s="409"/>
      <c r="X122" s="409"/>
      <c r="Y122" s="409"/>
      <c r="Z122" s="409"/>
      <c r="AA122" s="409"/>
      <c r="AL122" s="412">
        <v>42095</v>
      </c>
      <c r="AM122" s="409" t="e">
        <f t="shared" si="0"/>
        <v>#DIV/0!</v>
      </c>
      <c r="AN122" s="409" t="e">
        <f t="shared" si="1"/>
        <v>#DIV/0!</v>
      </c>
      <c r="AQ122" s="409" t="e">
        <f t="shared" si="2"/>
        <v>#DIV/0!</v>
      </c>
      <c r="AR122" s="409" t="e">
        <f t="shared" si="3"/>
        <v>#DIV/0!</v>
      </c>
      <c r="AU122" s="409" t="e">
        <f t="shared" si="4"/>
        <v>#DIV/0!</v>
      </c>
      <c r="AV122" s="409" t="e">
        <f t="shared" si="5"/>
        <v>#DIV/0!</v>
      </c>
    </row>
    <row r="123" spans="1:48" ht="18" customHeight="1" x14ac:dyDescent="0.3"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S123" s="409"/>
      <c r="T123" s="409"/>
      <c r="U123" s="409"/>
      <c r="V123" s="409"/>
      <c r="W123" s="409"/>
      <c r="X123" s="409"/>
      <c r="Y123" s="409"/>
      <c r="Z123" s="409"/>
      <c r="AA123" s="409"/>
      <c r="AL123" s="412">
        <v>42125</v>
      </c>
      <c r="AM123" s="409" t="e">
        <f t="shared" si="0"/>
        <v>#DIV/0!</v>
      </c>
      <c r="AN123" s="409" t="e">
        <f t="shared" si="1"/>
        <v>#DIV/0!</v>
      </c>
      <c r="AQ123" s="409" t="e">
        <f t="shared" si="2"/>
        <v>#DIV/0!</v>
      </c>
      <c r="AR123" s="409" t="e">
        <f t="shared" si="3"/>
        <v>#DIV/0!</v>
      </c>
      <c r="AU123" s="409" t="e">
        <f t="shared" si="4"/>
        <v>#DIV/0!</v>
      </c>
      <c r="AV123" s="409" t="e">
        <f t="shared" si="5"/>
        <v>#DIV/0!</v>
      </c>
    </row>
    <row r="124" spans="1:48" ht="18" customHeight="1" x14ac:dyDescent="0.3"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S124" s="409"/>
      <c r="T124" s="409"/>
      <c r="U124" s="409"/>
      <c r="V124" s="409"/>
      <c r="W124" s="409"/>
      <c r="X124" s="409"/>
      <c r="Y124" s="409"/>
      <c r="Z124" s="409"/>
      <c r="AA124" s="409"/>
      <c r="AL124" s="412">
        <v>42156</v>
      </c>
      <c r="AM124" s="409" t="e">
        <f t="shared" si="0"/>
        <v>#DIV/0!</v>
      </c>
      <c r="AN124" s="409" t="e">
        <f t="shared" si="1"/>
        <v>#DIV/0!</v>
      </c>
      <c r="AQ124" s="409" t="e">
        <f t="shared" si="2"/>
        <v>#DIV/0!</v>
      </c>
      <c r="AR124" s="409" t="e">
        <f t="shared" si="3"/>
        <v>#DIV/0!</v>
      </c>
      <c r="AU124" s="409" t="e">
        <f t="shared" si="4"/>
        <v>#DIV/0!</v>
      </c>
      <c r="AV124" s="409" t="e">
        <f t="shared" si="5"/>
        <v>#DIV/0!</v>
      </c>
    </row>
    <row r="125" spans="1:48" ht="18" customHeight="1" x14ac:dyDescent="0.3"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S125" s="409"/>
      <c r="T125" s="409"/>
      <c r="U125" s="409"/>
      <c r="V125" s="409"/>
      <c r="W125" s="409"/>
      <c r="X125" s="409"/>
      <c r="Y125" s="409"/>
      <c r="Z125" s="409"/>
      <c r="AA125" s="409"/>
      <c r="AL125" s="412">
        <v>42186</v>
      </c>
      <c r="AM125" s="409" t="e">
        <f t="shared" si="0"/>
        <v>#DIV/0!</v>
      </c>
      <c r="AN125" s="409" t="e">
        <f t="shared" si="1"/>
        <v>#DIV/0!</v>
      </c>
      <c r="AQ125" s="409" t="e">
        <f t="shared" si="2"/>
        <v>#DIV/0!</v>
      </c>
      <c r="AR125" s="409" t="e">
        <f t="shared" si="3"/>
        <v>#DIV/0!</v>
      </c>
      <c r="AU125" s="409" t="e">
        <f t="shared" si="4"/>
        <v>#DIV/0!</v>
      </c>
      <c r="AV125" s="409" t="e">
        <f t="shared" si="5"/>
        <v>#DIV/0!</v>
      </c>
    </row>
    <row r="126" spans="1:48" ht="18" customHeight="1" x14ac:dyDescent="0.3"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S126" s="409"/>
      <c r="T126" s="409"/>
      <c r="U126" s="409"/>
      <c r="V126" s="409"/>
      <c r="W126" s="409"/>
      <c r="X126" s="409"/>
      <c r="Y126" s="409"/>
      <c r="Z126" s="409"/>
      <c r="AA126" s="409"/>
      <c r="AL126" s="412">
        <v>42217</v>
      </c>
      <c r="AM126" s="409" t="e">
        <f t="shared" si="0"/>
        <v>#DIV/0!</v>
      </c>
      <c r="AN126" s="409" t="e">
        <f t="shared" si="1"/>
        <v>#DIV/0!</v>
      </c>
      <c r="AQ126" s="409" t="e">
        <f t="shared" si="2"/>
        <v>#DIV/0!</v>
      </c>
      <c r="AR126" s="409" t="e">
        <f t="shared" si="3"/>
        <v>#DIV/0!</v>
      </c>
      <c r="AU126" s="409" t="e">
        <f t="shared" si="4"/>
        <v>#DIV/0!</v>
      </c>
      <c r="AV126" s="409" t="e">
        <f t="shared" si="5"/>
        <v>#DIV/0!</v>
      </c>
    </row>
    <row r="127" spans="1:48" ht="18" customHeight="1" x14ac:dyDescent="0.3">
      <c r="D127" s="409"/>
      <c r="E127" s="409"/>
      <c r="F127" s="409"/>
      <c r="G127" s="409"/>
      <c r="H127" s="409"/>
      <c r="I127" s="409"/>
      <c r="J127" s="409"/>
      <c r="K127" s="409"/>
      <c r="L127" s="409"/>
      <c r="M127" s="409"/>
      <c r="N127" s="409"/>
      <c r="O127" s="409"/>
      <c r="P127" s="409"/>
      <c r="Q127" s="409"/>
      <c r="S127" s="409"/>
      <c r="T127" s="409"/>
      <c r="U127" s="409"/>
      <c r="V127" s="409"/>
      <c r="W127" s="409"/>
      <c r="X127" s="409"/>
      <c r="Y127" s="409"/>
      <c r="Z127" s="409"/>
      <c r="AA127" s="409"/>
      <c r="AL127" s="412">
        <v>42248</v>
      </c>
      <c r="AM127" s="409" t="e">
        <f t="shared" si="0"/>
        <v>#DIV/0!</v>
      </c>
      <c r="AN127" s="409" t="e">
        <f t="shared" si="1"/>
        <v>#DIV/0!</v>
      </c>
      <c r="AQ127" s="409" t="e">
        <f t="shared" si="2"/>
        <v>#DIV/0!</v>
      </c>
      <c r="AR127" s="409" t="e">
        <f t="shared" si="3"/>
        <v>#DIV/0!</v>
      </c>
      <c r="AU127" s="409" t="e">
        <f t="shared" si="4"/>
        <v>#DIV/0!</v>
      </c>
      <c r="AV127" s="409" t="e">
        <f t="shared" si="5"/>
        <v>#DIV/0!</v>
      </c>
    </row>
    <row r="128" spans="1:48" ht="18" customHeight="1" x14ac:dyDescent="0.3">
      <c r="D128" s="409"/>
      <c r="E128" s="409"/>
      <c r="F128" s="409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  <c r="S128" s="409"/>
      <c r="T128" s="409"/>
      <c r="U128" s="409"/>
      <c r="V128" s="409"/>
      <c r="W128" s="409"/>
      <c r="X128" s="409"/>
      <c r="Y128" s="409"/>
      <c r="Z128" s="409"/>
      <c r="AA128" s="409"/>
      <c r="AL128" s="412">
        <v>42278</v>
      </c>
      <c r="AM128" s="409" t="e">
        <f t="shared" si="0"/>
        <v>#DIV/0!</v>
      </c>
      <c r="AN128" s="409" t="e">
        <f t="shared" si="1"/>
        <v>#DIV/0!</v>
      </c>
      <c r="AQ128" s="409" t="e">
        <f t="shared" si="2"/>
        <v>#DIV/0!</v>
      </c>
      <c r="AR128" s="409" t="e">
        <f t="shared" si="3"/>
        <v>#DIV/0!</v>
      </c>
      <c r="AU128" s="409" t="e">
        <f t="shared" si="4"/>
        <v>#DIV/0!</v>
      </c>
      <c r="AV128" s="409" t="e">
        <f t="shared" si="5"/>
        <v>#DIV/0!</v>
      </c>
    </row>
    <row r="129" spans="4:48" ht="18" customHeight="1" x14ac:dyDescent="0.3">
      <c r="D129" s="409"/>
      <c r="E129" s="409"/>
      <c r="F129" s="409"/>
      <c r="G129" s="409"/>
      <c r="H129" s="409"/>
      <c r="I129" s="409"/>
      <c r="J129" s="409"/>
      <c r="K129" s="409"/>
      <c r="L129" s="409"/>
      <c r="M129" s="409"/>
      <c r="N129" s="409"/>
      <c r="O129" s="409"/>
      <c r="P129" s="409"/>
      <c r="Q129" s="409"/>
      <c r="S129" s="409"/>
      <c r="T129" s="409"/>
      <c r="U129" s="409"/>
      <c r="V129" s="409"/>
      <c r="W129" s="409"/>
      <c r="X129" s="409"/>
      <c r="Y129" s="409"/>
      <c r="Z129" s="409"/>
      <c r="AA129" s="409"/>
      <c r="AL129" s="412">
        <v>42309</v>
      </c>
      <c r="AM129" s="409" t="e">
        <f t="shared" si="0"/>
        <v>#DIV/0!</v>
      </c>
      <c r="AN129" s="409" t="e">
        <f t="shared" si="1"/>
        <v>#DIV/0!</v>
      </c>
      <c r="AQ129" s="409" t="e">
        <f t="shared" si="2"/>
        <v>#DIV/0!</v>
      </c>
      <c r="AR129" s="409" t="e">
        <f t="shared" si="3"/>
        <v>#DIV/0!</v>
      </c>
      <c r="AU129" s="409" t="e">
        <f t="shared" si="4"/>
        <v>#DIV/0!</v>
      </c>
      <c r="AV129" s="409" t="e">
        <f t="shared" si="5"/>
        <v>#DIV/0!</v>
      </c>
    </row>
    <row r="130" spans="4:48" ht="18" customHeight="1" x14ac:dyDescent="0.3">
      <c r="D130" s="409"/>
      <c r="E130" s="409"/>
      <c r="F130" s="409"/>
      <c r="G130" s="409"/>
      <c r="H130" s="409"/>
      <c r="I130" s="409"/>
      <c r="J130" s="409"/>
      <c r="K130" s="409"/>
      <c r="L130" s="409"/>
      <c r="M130" s="409"/>
      <c r="N130" s="409"/>
      <c r="O130" s="409"/>
      <c r="P130" s="409"/>
      <c r="Q130" s="409"/>
      <c r="AL130" s="412">
        <v>42339</v>
      </c>
      <c r="AM130" s="409" t="e">
        <f t="shared" si="0"/>
        <v>#DIV/0!</v>
      </c>
      <c r="AN130" s="409" t="e">
        <f t="shared" si="1"/>
        <v>#DIV/0!</v>
      </c>
      <c r="AQ130" s="409" t="e">
        <f t="shared" si="2"/>
        <v>#DIV/0!</v>
      </c>
      <c r="AR130" s="409" t="e">
        <f t="shared" si="3"/>
        <v>#DIV/0!</v>
      </c>
      <c r="AU130" s="409" t="e">
        <f t="shared" si="4"/>
        <v>#DIV/0!</v>
      </c>
      <c r="AV130" s="409" t="e">
        <f t="shared" si="5"/>
        <v>#DIV/0!</v>
      </c>
    </row>
    <row r="131" spans="4:48" ht="18" customHeight="1" x14ac:dyDescent="0.3">
      <c r="D131" s="409"/>
      <c r="E131" s="409"/>
      <c r="F131" s="409"/>
      <c r="G131" s="409"/>
      <c r="H131" s="409"/>
      <c r="I131" s="409"/>
      <c r="J131" s="409"/>
      <c r="K131" s="409"/>
      <c r="L131" s="409"/>
      <c r="M131" s="409"/>
      <c r="N131" s="409"/>
      <c r="O131" s="409"/>
      <c r="P131" s="409"/>
      <c r="Q131" s="409"/>
      <c r="AL131" s="412">
        <f>AL130+31</f>
        <v>42370</v>
      </c>
      <c r="AM131" s="409" t="e">
        <f t="shared" si="0"/>
        <v>#DIV/0!</v>
      </c>
      <c r="AN131" s="409" t="e">
        <f t="shared" si="1"/>
        <v>#DIV/0!</v>
      </c>
      <c r="AQ131" s="409" t="e">
        <f t="shared" si="2"/>
        <v>#DIV/0!</v>
      </c>
      <c r="AR131" s="409" t="e">
        <f t="shared" si="3"/>
        <v>#DIV/0!</v>
      </c>
      <c r="AU131" s="409" t="e">
        <f t="shared" si="4"/>
        <v>#DIV/0!</v>
      </c>
      <c r="AV131" s="409" t="e">
        <f t="shared" si="5"/>
        <v>#DIV/0!</v>
      </c>
    </row>
    <row r="132" spans="4:48" ht="18" customHeight="1" x14ac:dyDescent="0.3">
      <c r="D132" s="409"/>
      <c r="E132" s="409"/>
      <c r="F132" s="409"/>
      <c r="G132" s="409"/>
      <c r="H132" s="409"/>
      <c r="I132" s="409"/>
      <c r="J132" s="409"/>
      <c r="K132" s="409"/>
      <c r="L132" s="409"/>
      <c r="M132" s="409"/>
      <c r="N132" s="409"/>
      <c r="O132" s="409"/>
      <c r="P132" s="409"/>
      <c r="Q132" s="409"/>
      <c r="AL132" s="412">
        <f>AL131+31</f>
        <v>42401</v>
      </c>
      <c r="AM132" s="409"/>
      <c r="AN132" s="409"/>
      <c r="AQ132" s="409"/>
      <c r="AR132" s="409"/>
      <c r="AU132" s="409"/>
      <c r="AV132" s="409"/>
    </row>
    <row r="133" spans="4:48" ht="18" customHeight="1" x14ac:dyDescent="0.3">
      <c r="D133" s="409"/>
      <c r="AM133" s="409"/>
      <c r="AN133" s="409"/>
      <c r="AQ133" s="409"/>
      <c r="AR133" s="409"/>
      <c r="AU133" s="409"/>
      <c r="AV133" s="409"/>
    </row>
    <row r="134" spans="4:48" ht="18" customHeight="1" x14ac:dyDescent="0.3">
      <c r="D134" s="409"/>
      <c r="E134" s="409"/>
      <c r="F134" s="409"/>
      <c r="G134" s="409"/>
      <c r="H134" s="409"/>
      <c r="I134" s="409"/>
      <c r="J134" s="409"/>
      <c r="K134" s="409"/>
      <c r="L134" s="409"/>
      <c r="M134" s="409"/>
      <c r="N134" s="409"/>
      <c r="O134" s="409"/>
      <c r="P134" s="409"/>
      <c r="Q134" s="409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style="373" customWidth="1"/>
    <col min="19" max="25" width="14.6640625" customWidth="1"/>
    <col min="26" max="27" width="12.6640625" customWidth="1"/>
  </cols>
  <sheetData>
    <row r="1" spans="1:27" ht="17.399999999999999" x14ac:dyDescent="0.3">
      <c r="C1" s="131" t="s">
        <v>120</v>
      </c>
    </row>
    <row r="3" spans="1:27" ht="15.6" x14ac:dyDescent="0.3">
      <c r="C3" s="59" t="s">
        <v>65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6.2" thickBot="1" x14ac:dyDescent="0.35">
      <c r="C4" s="59"/>
      <c r="D4" s="10"/>
      <c r="E4" s="10"/>
      <c r="F4" s="10"/>
      <c r="G4" s="10"/>
      <c r="H4" s="10"/>
      <c r="I4" s="10"/>
      <c r="J4" s="10"/>
      <c r="K4" s="10"/>
      <c r="L4" s="10"/>
      <c r="M4" s="10"/>
      <c r="T4" s="59"/>
    </row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510" t="s">
        <v>38</v>
      </c>
      <c r="H5" s="511"/>
      <c r="I5" s="512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122</v>
      </c>
      <c r="T5" s="61"/>
      <c r="U5" s="61"/>
      <c r="V5" s="513" t="s">
        <v>108</v>
      </c>
      <c r="W5" s="514"/>
      <c r="X5" s="514"/>
      <c r="Y5" s="514"/>
      <c r="Z5" s="514"/>
      <c r="AA5" s="515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1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20"/>
      <c r="B7" s="3"/>
      <c r="C7" s="23" t="s">
        <v>31</v>
      </c>
      <c r="D7" s="27" t="s">
        <v>32</v>
      </c>
      <c r="E7" s="4"/>
      <c r="F7" s="23"/>
      <c r="G7" s="27"/>
      <c r="H7" s="32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7.399999999999999" x14ac:dyDescent="0.3">
      <c r="A8" s="20"/>
      <c r="B8" s="3"/>
      <c r="C8" s="23"/>
      <c r="D8" s="27"/>
      <c r="E8" s="4"/>
      <c r="F8" s="23"/>
      <c r="G8" s="27"/>
      <c r="H8" s="32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3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v>95.5</v>
      </c>
      <c r="D10" s="67">
        <v>95.5</v>
      </c>
      <c r="E10" s="123">
        <v>94.9</v>
      </c>
      <c r="F10" s="111">
        <v>94.9</v>
      </c>
      <c r="G10" s="381">
        <v>95.5</v>
      </c>
      <c r="H10" s="123">
        <v>95</v>
      </c>
      <c r="I10" s="114"/>
      <c r="J10" s="67">
        <v>95.4</v>
      </c>
      <c r="K10" s="115">
        <v>95.2</v>
      </c>
      <c r="L10" s="68">
        <v>95.6</v>
      </c>
      <c r="M10" s="67">
        <v>95</v>
      </c>
      <c r="N10" s="110">
        <v>95.5</v>
      </c>
      <c r="O10" s="114">
        <v>95.5</v>
      </c>
      <c r="P10" s="111">
        <v>95.5</v>
      </c>
      <c r="Q10" s="68">
        <v>95.8</v>
      </c>
      <c r="R10" s="43"/>
      <c r="S10" s="39">
        <v>184.1</v>
      </c>
      <c r="T10" s="98"/>
      <c r="U10" s="135"/>
      <c r="V10" s="95">
        <v>304.10000000000002</v>
      </c>
      <c r="W10" s="40">
        <v>153.69999999999999</v>
      </c>
      <c r="X10" s="98"/>
      <c r="Y10" s="53"/>
      <c r="Z10" s="39">
        <v>287.7</v>
      </c>
      <c r="AA10" s="90">
        <v>284.3</v>
      </c>
    </row>
    <row r="11" spans="1:27" x14ac:dyDescent="0.3">
      <c r="A11" s="124">
        <v>2</v>
      </c>
      <c r="B11" s="133">
        <v>2008</v>
      </c>
      <c r="C11" s="101">
        <v>96</v>
      </c>
      <c r="D11" s="43">
        <v>96</v>
      </c>
      <c r="E11" s="118">
        <v>95.3</v>
      </c>
      <c r="F11" s="101">
        <v>95.3</v>
      </c>
      <c r="G11" s="125">
        <v>96.2</v>
      </c>
      <c r="H11" s="118">
        <v>95.5</v>
      </c>
      <c r="I11" s="92"/>
      <c r="J11" s="43">
        <v>96.1</v>
      </c>
      <c r="K11" s="97">
        <v>95.9</v>
      </c>
      <c r="L11" s="44">
        <v>96.2</v>
      </c>
      <c r="M11" s="43">
        <v>95.7</v>
      </c>
      <c r="N11" s="35">
        <v>96.1</v>
      </c>
      <c r="O11" s="92">
        <v>96.1</v>
      </c>
      <c r="P11" s="101">
        <v>96.1</v>
      </c>
      <c r="Q11" s="44">
        <v>96.7</v>
      </c>
      <c r="R11" s="43"/>
      <c r="S11" s="41">
        <v>186.8</v>
      </c>
      <c r="T11" s="99"/>
      <c r="U11" s="136"/>
      <c r="V11" s="96">
        <v>321.60000000000002</v>
      </c>
      <c r="W11" s="42">
        <v>161.4</v>
      </c>
      <c r="X11" s="99"/>
      <c r="Y11" s="54"/>
      <c r="Z11" s="41">
        <v>290.5</v>
      </c>
      <c r="AA11" s="91">
        <v>287.10000000000002</v>
      </c>
    </row>
    <row r="12" spans="1:27" x14ac:dyDescent="0.3">
      <c r="A12" s="124">
        <v>3</v>
      </c>
      <c r="B12" s="133">
        <v>2008</v>
      </c>
      <c r="C12" s="101">
        <v>97.5</v>
      </c>
      <c r="D12" s="43">
        <v>97.3</v>
      </c>
      <c r="E12" s="118">
        <v>96.8</v>
      </c>
      <c r="F12" s="101">
        <v>96.4</v>
      </c>
      <c r="G12" s="125">
        <v>97.3</v>
      </c>
      <c r="H12" s="118">
        <v>96.6</v>
      </c>
      <c r="I12" s="92"/>
      <c r="J12" s="43">
        <v>97.7</v>
      </c>
      <c r="K12" s="97">
        <v>97.6</v>
      </c>
      <c r="L12" s="44">
        <v>97.7</v>
      </c>
      <c r="M12" s="43">
        <v>97.1</v>
      </c>
      <c r="N12" s="35">
        <v>97.6</v>
      </c>
      <c r="O12" s="92">
        <v>97.6</v>
      </c>
      <c r="P12" s="101">
        <v>97.1</v>
      </c>
      <c r="Q12" s="44">
        <v>97.8</v>
      </c>
      <c r="R12" s="43"/>
      <c r="S12" s="41">
        <v>187.8</v>
      </c>
      <c r="T12" s="99"/>
      <c r="U12" s="136"/>
      <c r="V12" s="96">
        <v>367.6</v>
      </c>
      <c r="W12" s="42">
        <v>161.4</v>
      </c>
      <c r="X12" s="99"/>
      <c r="Y12" s="54"/>
      <c r="Z12" s="41">
        <v>321.39999999999998</v>
      </c>
      <c r="AA12" s="91">
        <v>318.3</v>
      </c>
    </row>
    <row r="13" spans="1:27" x14ac:dyDescent="0.3">
      <c r="A13" s="124">
        <v>4</v>
      </c>
      <c r="B13" s="133">
        <v>2008</v>
      </c>
      <c r="C13" s="101">
        <v>98.3</v>
      </c>
      <c r="D13" s="43">
        <v>97.9</v>
      </c>
      <c r="E13" s="118">
        <v>97.7</v>
      </c>
      <c r="F13" s="101">
        <v>97.5</v>
      </c>
      <c r="G13" s="125">
        <v>98</v>
      </c>
      <c r="H13" s="118">
        <v>97.5</v>
      </c>
      <c r="I13" s="92"/>
      <c r="J13" s="43">
        <v>98.3</v>
      </c>
      <c r="K13" s="97">
        <v>98.1</v>
      </c>
      <c r="L13" s="44">
        <v>98.2</v>
      </c>
      <c r="M13" s="43">
        <v>97.9</v>
      </c>
      <c r="N13" s="35">
        <v>98.2</v>
      </c>
      <c r="O13" s="92">
        <v>98.2</v>
      </c>
      <c r="P13" s="101">
        <v>97.9</v>
      </c>
      <c r="Q13" s="44">
        <v>98.3</v>
      </c>
      <c r="R13" s="43"/>
      <c r="S13" s="41">
        <v>191</v>
      </c>
      <c r="T13" s="99"/>
      <c r="U13" s="136"/>
      <c r="V13" s="96">
        <v>424.9</v>
      </c>
      <c r="W13" s="42">
        <v>161.4</v>
      </c>
      <c r="X13" s="99"/>
      <c r="Y13" s="54"/>
      <c r="Z13" s="41">
        <v>372.6</v>
      </c>
      <c r="AA13" s="91">
        <v>369.5</v>
      </c>
    </row>
    <row r="14" spans="1:27" x14ac:dyDescent="0.3">
      <c r="A14" s="124">
        <v>5</v>
      </c>
      <c r="B14" s="133">
        <v>2008</v>
      </c>
      <c r="C14" s="101">
        <v>98.8</v>
      </c>
      <c r="D14" s="43">
        <v>98.7</v>
      </c>
      <c r="E14" s="118">
        <v>98.5</v>
      </c>
      <c r="F14" s="101">
        <v>98.1</v>
      </c>
      <c r="G14" s="125">
        <v>98.6</v>
      </c>
      <c r="H14" s="118">
        <v>98.3</v>
      </c>
      <c r="I14" s="92"/>
      <c r="J14" s="43">
        <v>98.9</v>
      </c>
      <c r="K14" s="97">
        <v>98.7</v>
      </c>
      <c r="L14" s="44">
        <v>99.1</v>
      </c>
      <c r="M14" s="43">
        <v>98.6</v>
      </c>
      <c r="N14" s="35">
        <v>98.9</v>
      </c>
      <c r="O14" s="92">
        <v>98.9</v>
      </c>
      <c r="P14" s="101">
        <v>98.4</v>
      </c>
      <c r="Q14" s="44">
        <v>99.2</v>
      </c>
      <c r="R14" s="43"/>
      <c r="S14" s="41">
        <v>199</v>
      </c>
      <c r="T14" s="99"/>
      <c r="U14" s="136"/>
      <c r="V14" s="96">
        <v>471</v>
      </c>
      <c r="W14" s="42">
        <v>168.3</v>
      </c>
      <c r="X14" s="99"/>
      <c r="Y14" s="54"/>
      <c r="Z14" s="41">
        <v>400.4</v>
      </c>
      <c r="AA14" s="91">
        <v>397.9</v>
      </c>
    </row>
    <row r="15" spans="1:27" x14ac:dyDescent="0.3">
      <c r="A15" s="124">
        <v>6</v>
      </c>
      <c r="B15" s="133">
        <v>2008</v>
      </c>
      <c r="C15" s="101">
        <v>99.8</v>
      </c>
      <c r="D15" s="43">
        <v>99.9</v>
      </c>
      <c r="E15" s="118">
        <v>100.3</v>
      </c>
      <c r="F15" s="101">
        <v>99.4</v>
      </c>
      <c r="G15" s="125">
        <v>100.1</v>
      </c>
      <c r="H15" s="118">
        <v>100.1</v>
      </c>
      <c r="I15" s="92"/>
      <c r="J15" s="43">
        <v>100.1</v>
      </c>
      <c r="K15" s="97">
        <v>100.4</v>
      </c>
      <c r="L15" s="44">
        <v>100.5</v>
      </c>
      <c r="M15" s="43">
        <v>100</v>
      </c>
      <c r="N15" s="35">
        <v>99.8</v>
      </c>
      <c r="O15" s="92">
        <v>99.8</v>
      </c>
      <c r="P15" s="101">
        <v>99.9</v>
      </c>
      <c r="Q15" s="44">
        <v>100.2</v>
      </c>
      <c r="R15" s="43"/>
      <c r="S15" s="41">
        <v>201.8</v>
      </c>
      <c r="T15" s="99"/>
      <c r="U15" s="136"/>
      <c r="V15" s="96">
        <v>519.9</v>
      </c>
      <c r="W15" s="42">
        <v>168.3</v>
      </c>
      <c r="X15" s="99"/>
      <c r="Y15" s="54"/>
      <c r="Z15" s="41">
        <v>428.5</v>
      </c>
      <c r="AA15" s="91">
        <v>426.3</v>
      </c>
    </row>
    <row r="16" spans="1:27" x14ac:dyDescent="0.3">
      <c r="A16" s="124">
        <v>7</v>
      </c>
      <c r="B16" s="133">
        <v>2008</v>
      </c>
      <c r="C16" s="101">
        <v>101.2</v>
      </c>
      <c r="D16" s="43">
        <v>101.2</v>
      </c>
      <c r="E16" s="118">
        <v>101.6</v>
      </c>
      <c r="F16" s="101">
        <v>101.7</v>
      </c>
      <c r="G16" s="125">
        <v>101.2</v>
      </c>
      <c r="H16" s="118">
        <v>101.9</v>
      </c>
      <c r="I16" s="92"/>
      <c r="J16" s="43">
        <v>101.3</v>
      </c>
      <c r="K16" s="97">
        <v>101.5</v>
      </c>
      <c r="L16" s="44">
        <v>102</v>
      </c>
      <c r="M16" s="43">
        <v>101.1</v>
      </c>
      <c r="N16" s="35">
        <v>101</v>
      </c>
      <c r="O16" s="92">
        <v>101</v>
      </c>
      <c r="P16" s="101">
        <v>101.3</v>
      </c>
      <c r="Q16" s="44">
        <v>101.4</v>
      </c>
      <c r="R16" s="43"/>
      <c r="S16" s="41">
        <v>203.9</v>
      </c>
      <c r="T16" s="99"/>
      <c r="U16" s="136"/>
      <c r="V16" s="96">
        <v>511.9</v>
      </c>
      <c r="W16" s="42">
        <v>168.3</v>
      </c>
      <c r="X16" s="99"/>
      <c r="Y16" s="54"/>
      <c r="Z16" s="41">
        <v>453.5</v>
      </c>
      <c r="AA16" s="91">
        <v>451.5</v>
      </c>
    </row>
    <row r="17" spans="1:27" x14ac:dyDescent="0.3">
      <c r="A17" s="124">
        <v>8</v>
      </c>
      <c r="B17" s="133">
        <v>2008</v>
      </c>
      <c r="C17" s="101">
        <v>101.8</v>
      </c>
      <c r="D17" s="43">
        <v>101.8</v>
      </c>
      <c r="E17" s="118">
        <v>102.4</v>
      </c>
      <c r="F17" s="101">
        <v>102.7</v>
      </c>
      <c r="G17" s="125">
        <v>101.8</v>
      </c>
      <c r="H17" s="118">
        <v>102.5</v>
      </c>
      <c r="I17" s="92"/>
      <c r="J17" s="43">
        <v>101.5</v>
      </c>
      <c r="K17" s="97">
        <v>102.1</v>
      </c>
      <c r="L17" s="44">
        <v>102.3</v>
      </c>
      <c r="M17" s="43">
        <v>102.1</v>
      </c>
      <c r="N17" s="35">
        <v>101.7</v>
      </c>
      <c r="O17" s="92">
        <v>101.7</v>
      </c>
      <c r="P17" s="101">
        <v>101.6</v>
      </c>
      <c r="Q17" s="44">
        <v>101.8</v>
      </c>
      <c r="R17" s="43"/>
      <c r="S17" s="41">
        <v>217.3</v>
      </c>
      <c r="T17" s="99"/>
      <c r="U17" s="136"/>
      <c r="V17" s="96">
        <v>419.9</v>
      </c>
      <c r="W17" s="42">
        <v>175.4</v>
      </c>
      <c r="X17" s="99"/>
      <c r="Y17" s="54"/>
      <c r="Z17" s="41">
        <v>447.1</v>
      </c>
      <c r="AA17" s="91">
        <v>444.7</v>
      </c>
    </row>
    <row r="18" spans="1:27" x14ac:dyDescent="0.3">
      <c r="A18" s="124">
        <v>9</v>
      </c>
      <c r="B18" s="133">
        <v>2008</v>
      </c>
      <c r="C18" s="101">
        <v>102.6</v>
      </c>
      <c r="D18" s="43">
        <v>102.9</v>
      </c>
      <c r="E18" s="118">
        <v>103</v>
      </c>
      <c r="F18" s="101">
        <v>103.1</v>
      </c>
      <c r="G18" s="125">
        <v>102.6</v>
      </c>
      <c r="H18" s="118">
        <v>102.8</v>
      </c>
      <c r="I18" s="92"/>
      <c r="J18" s="43">
        <v>102.5</v>
      </c>
      <c r="K18" s="97">
        <v>102.5</v>
      </c>
      <c r="L18" s="44">
        <v>102</v>
      </c>
      <c r="M18" s="43">
        <v>103</v>
      </c>
      <c r="N18" s="35">
        <v>102.6</v>
      </c>
      <c r="O18" s="92">
        <v>102.6</v>
      </c>
      <c r="P18" s="101">
        <v>102.8</v>
      </c>
      <c r="Q18" s="44">
        <v>102</v>
      </c>
      <c r="R18" s="43"/>
      <c r="S18" s="41">
        <v>218.8</v>
      </c>
      <c r="T18" s="99"/>
      <c r="U18" s="136"/>
      <c r="V18" s="96">
        <v>394.3</v>
      </c>
      <c r="W18" s="42">
        <v>175.4</v>
      </c>
      <c r="X18" s="99"/>
      <c r="Y18" s="54"/>
      <c r="Z18" s="41">
        <v>390</v>
      </c>
      <c r="AA18" s="91">
        <v>387.1</v>
      </c>
    </row>
    <row r="19" spans="1:27" x14ac:dyDescent="0.3">
      <c r="A19" s="124">
        <v>10</v>
      </c>
      <c r="B19" s="133">
        <v>2008</v>
      </c>
      <c r="C19" s="101">
        <v>102.9</v>
      </c>
      <c r="D19" s="43">
        <v>103.2</v>
      </c>
      <c r="E19" s="118">
        <v>103.2</v>
      </c>
      <c r="F19" s="101">
        <v>103.6</v>
      </c>
      <c r="G19" s="125">
        <v>102.8</v>
      </c>
      <c r="H19" s="118">
        <v>103.2</v>
      </c>
      <c r="I19" s="92"/>
      <c r="J19" s="43">
        <v>102.8</v>
      </c>
      <c r="K19" s="97">
        <v>102.6</v>
      </c>
      <c r="L19" s="44">
        <v>102.4</v>
      </c>
      <c r="M19" s="43">
        <v>103.2</v>
      </c>
      <c r="N19" s="35">
        <v>102.8</v>
      </c>
      <c r="O19" s="92">
        <v>102.8</v>
      </c>
      <c r="P19" s="101">
        <v>103.1</v>
      </c>
      <c r="Q19" s="44">
        <v>102.3</v>
      </c>
      <c r="R19" s="43"/>
      <c r="S19" s="41">
        <v>219.6</v>
      </c>
      <c r="T19" s="99"/>
      <c r="U19" s="136"/>
      <c r="V19" s="96">
        <v>377.4</v>
      </c>
      <c r="W19" s="42">
        <v>175.4</v>
      </c>
      <c r="X19" s="99"/>
      <c r="Y19" s="54"/>
      <c r="Z19" s="41">
        <v>367.8</v>
      </c>
      <c r="AA19" s="91">
        <v>364.7</v>
      </c>
    </row>
    <row r="20" spans="1:27" x14ac:dyDescent="0.3">
      <c r="A20" s="124">
        <v>11</v>
      </c>
      <c r="B20" s="133">
        <v>2008</v>
      </c>
      <c r="C20" s="101">
        <v>102.9</v>
      </c>
      <c r="D20" s="43">
        <v>103.2</v>
      </c>
      <c r="E20" s="118">
        <v>103.3</v>
      </c>
      <c r="F20" s="101">
        <v>103.7</v>
      </c>
      <c r="G20" s="125">
        <v>103</v>
      </c>
      <c r="H20" s="118">
        <v>103.2</v>
      </c>
      <c r="I20" s="92"/>
      <c r="J20" s="43">
        <v>102.9</v>
      </c>
      <c r="K20" s="97">
        <v>102.7</v>
      </c>
      <c r="L20" s="44">
        <v>102.3</v>
      </c>
      <c r="M20" s="43">
        <v>103.3</v>
      </c>
      <c r="N20" s="35">
        <v>102.9</v>
      </c>
      <c r="O20" s="92">
        <v>102.9</v>
      </c>
      <c r="P20" s="101">
        <v>103.3</v>
      </c>
      <c r="Q20" s="44">
        <v>102.5</v>
      </c>
      <c r="R20" s="43"/>
      <c r="S20" s="41">
        <v>219.2</v>
      </c>
      <c r="T20" s="99"/>
      <c r="U20" s="136"/>
      <c r="V20" s="96">
        <v>336.8</v>
      </c>
      <c r="W20" s="42">
        <v>184.8</v>
      </c>
      <c r="X20" s="99"/>
      <c r="Y20" s="54"/>
      <c r="Z20" s="41">
        <v>358.2</v>
      </c>
      <c r="AA20" s="91">
        <v>355.1</v>
      </c>
    </row>
    <row r="21" spans="1:27" x14ac:dyDescent="0.3">
      <c r="A21" s="124">
        <v>12</v>
      </c>
      <c r="B21" s="133">
        <v>2008</v>
      </c>
      <c r="C21" s="101">
        <v>102.8</v>
      </c>
      <c r="D21" s="43">
        <v>102.6</v>
      </c>
      <c r="E21" s="118">
        <v>103.2</v>
      </c>
      <c r="F21" s="101">
        <v>103.5</v>
      </c>
      <c r="G21" s="125">
        <v>102.9</v>
      </c>
      <c r="H21" s="118">
        <v>103.3</v>
      </c>
      <c r="I21" s="92"/>
      <c r="J21" s="43">
        <v>102.5</v>
      </c>
      <c r="K21" s="97">
        <v>102.6</v>
      </c>
      <c r="L21" s="44">
        <v>101.8</v>
      </c>
      <c r="M21" s="43">
        <v>103.2</v>
      </c>
      <c r="N21" s="35">
        <v>102.9</v>
      </c>
      <c r="O21" s="92">
        <v>102.9</v>
      </c>
      <c r="P21" s="101">
        <v>103</v>
      </c>
      <c r="Q21" s="44">
        <v>102</v>
      </c>
      <c r="R21" s="43"/>
      <c r="S21" s="41">
        <v>216.6</v>
      </c>
      <c r="T21" s="99"/>
      <c r="U21" s="136"/>
      <c r="V21" s="96">
        <v>274.3</v>
      </c>
      <c r="W21" s="42">
        <v>184.8</v>
      </c>
      <c r="X21" s="99"/>
      <c r="Y21" s="54"/>
      <c r="Z21" s="41">
        <v>326.10000000000002</v>
      </c>
      <c r="AA21" s="91">
        <v>322.7</v>
      </c>
    </row>
    <row r="22" spans="1:27" x14ac:dyDescent="0.3">
      <c r="A22" s="124">
        <v>1</v>
      </c>
      <c r="B22" s="133">
        <v>2009</v>
      </c>
      <c r="C22" s="101">
        <v>102.9</v>
      </c>
      <c r="D22" s="43">
        <v>102.8</v>
      </c>
      <c r="E22" s="118">
        <v>102.7</v>
      </c>
      <c r="F22" s="101">
        <v>103.6</v>
      </c>
      <c r="G22" s="125">
        <v>103.4</v>
      </c>
      <c r="H22" s="118">
        <v>104.2</v>
      </c>
      <c r="I22" s="92"/>
      <c r="J22" s="43">
        <v>103</v>
      </c>
      <c r="K22" s="97">
        <v>102.8</v>
      </c>
      <c r="L22" s="44">
        <v>101.9</v>
      </c>
      <c r="M22" s="43">
        <v>103.3</v>
      </c>
      <c r="N22" s="35">
        <v>103.2</v>
      </c>
      <c r="O22" s="92">
        <v>103.2</v>
      </c>
      <c r="P22" s="101">
        <v>103.8</v>
      </c>
      <c r="Q22" s="44">
        <v>102</v>
      </c>
      <c r="R22" s="43"/>
      <c r="S22" s="35">
        <v>219.7</v>
      </c>
      <c r="T22" s="100"/>
      <c r="U22" s="137"/>
      <c r="V22" s="97">
        <v>286.5</v>
      </c>
      <c r="W22" s="43">
        <v>184.8</v>
      </c>
      <c r="X22" s="100"/>
      <c r="Y22" s="55"/>
      <c r="Z22" s="35">
        <v>259.39999999999998</v>
      </c>
      <c r="AA22" s="92">
        <v>255.5</v>
      </c>
    </row>
    <row r="23" spans="1:27" x14ac:dyDescent="0.3">
      <c r="A23" s="124">
        <v>2</v>
      </c>
      <c r="B23" s="133">
        <v>2009</v>
      </c>
      <c r="C23" s="101">
        <v>103.8</v>
      </c>
      <c r="D23" s="43">
        <v>104.1</v>
      </c>
      <c r="E23" s="118">
        <v>104.1</v>
      </c>
      <c r="F23" s="101">
        <v>104.5</v>
      </c>
      <c r="G23" s="125">
        <v>104.4</v>
      </c>
      <c r="H23" s="118">
        <v>105</v>
      </c>
      <c r="I23" s="92"/>
      <c r="J23" s="43">
        <v>104.4</v>
      </c>
      <c r="K23" s="97">
        <v>104.1</v>
      </c>
      <c r="L23" s="44">
        <v>103.3</v>
      </c>
      <c r="M23" s="43">
        <v>104.6</v>
      </c>
      <c r="N23" s="35">
        <v>104.3</v>
      </c>
      <c r="O23" s="92">
        <v>104.3</v>
      </c>
      <c r="P23" s="101">
        <v>105.3</v>
      </c>
      <c r="Q23" s="44">
        <v>103.8</v>
      </c>
      <c r="R23" s="43"/>
      <c r="S23" s="35">
        <v>215.7</v>
      </c>
      <c r="T23" s="100"/>
      <c r="U23" s="137"/>
      <c r="V23" s="97">
        <v>271.3</v>
      </c>
      <c r="W23" s="43">
        <v>193</v>
      </c>
      <c r="X23" s="100"/>
      <c r="Y23" s="55"/>
      <c r="Z23" s="35">
        <v>257.39999999999998</v>
      </c>
      <c r="AA23" s="92">
        <v>253.9</v>
      </c>
    </row>
    <row r="24" spans="1:27" x14ac:dyDescent="0.3">
      <c r="A24" s="124">
        <v>3</v>
      </c>
      <c r="B24" s="133">
        <v>2009</v>
      </c>
      <c r="C24" s="101">
        <v>105.5</v>
      </c>
      <c r="D24" s="43">
        <v>105.4</v>
      </c>
      <c r="E24" s="118">
        <v>105.4</v>
      </c>
      <c r="F24" s="101">
        <v>106</v>
      </c>
      <c r="G24" s="125">
        <v>105.9</v>
      </c>
      <c r="H24" s="118">
        <v>106.2</v>
      </c>
      <c r="I24" s="92"/>
      <c r="J24" s="43">
        <v>105.8</v>
      </c>
      <c r="K24" s="97">
        <v>105.5</v>
      </c>
      <c r="L24" s="44">
        <v>104.9</v>
      </c>
      <c r="M24" s="43">
        <v>106.5</v>
      </c>
      <c r="N24" s="35">
        <v>105.7</v>
      </c>
      <c r="O24" s="92">
        <v>105.7</v>
      </c>
      <c r="P24" s="101">
        <v>106.6</v>
      </c>
      <c r="Q24" s="44">
        <v>105.3</v>
      </c>
      <c r="R24" s="43"/>
      <c r="S24" s="35">
        <v>214.8</v>
      </c>
      <c r="T24" s="100"/>
      <c r="U24" s="137"/>
      <c r="V24" s="97">
        <v>253.5</v>
      </c>
      <c r="W24" s="43">
        <v>193</v>
      </c>
      <c r="X24" s="100"/>
      <c r="Y24" s="55"/>
      <c r="Z24" s="35">
        <v>242.4</v>
      </c>
      <c r="AA24" s="92">
        <v>238.3</v>
      </c>
    </row>
    <row r="25" spans="1:27" x14ac:dyDescent="0.3">
      <c r="A25" s="124">
        <v>4</v>
      </c>
      <c r="B25" s="133">
        <v>2009</v>
      </c>
      <c r="C25" s="170">
        <v>105.9</v>
      </c>
      <c r="D25" s="43">
        <v>105.9</v>
      </c>
      <c r="E25" s="118">
        <v>106</v>
      </c>
      <c r="F25" s="101">
        <v>106.4</v>
      </c>
      <c r="G25" s="125">
        <v>106.4</v>
      </c>
      <c r="H25" s="118">
        <v>106.7</v>
      </c>
      <c r="I25" s="92"/>
      <c r="J25" s="43">
        <v>106.4</v>
      </c>
      <c r="K25" s="97">
        <v>106.1</v>
      </c>
      <c r="L25" s="44">
        <v>105.4</v>
      </c>
      <c r="M25" s="43">
        <v>106.6</v>
      </c>
      <c r="N25" s="35">
        <v>106.3</v>
      </c>
      <c r="O25" s="92">
        <v>106.3</v>
      </c>
      <c r="P25" s="101">
        <v>107.1</v>
      </c>
      <c r="Q25" s="44">
        <v>105.5</v>
      </c>
      <c r="R25" s="43"/>
      <c r="S25" s="35">
        <v>213.3</v>
      </c>
      <c r="T25" s="100"/>
      <c r="U25" s="137"/>
      <c r="V25" s="97">
        <v>250.2</v>
      </c>
      <c r="W25" s="43">
        <v>193</v>
      </c>
      <c r="X25" s="100"/>
      <c r="Y25" s="55"/>
      <c r="Z25" s="35">
        <v>258.2</v>
      </c>
      <c r="AA25" s="92">
        <v>254.3</v>
      </c>
    </row>
    <row r="26" spans="1:27" x14ac:dyDescent="0.3">
      <c r="A26" s="124">
        <v>5</v>
      </c>
      <c r="B26" s="133">
        <v>2009</v>
      </c>
      <c r="C26" s="170">
        <v>106.2</v>
      </c>
      <c r="D26" s="43">
        <v>106.2</v>
      </c>
      <c r="E26" s="118">
        <v>106.5</v>
      </c>
      <c r="F26" s="101">
        <v>106.8</v>
      </c>
      <c r="G26" s="125">
        <v>106.9</v>
      </c>
      <c r="H26" s="118">
        <v>107</v>
      </c>
      <c r="I26" s="92"/>
      <c r="J26" s="43">
        <v>106.8</v>
      </c>
      <c r="K26" s="97">
        <v>106.5</v>
      </c>
      <c r="L26" s="44">
        <v>105.6</v>
      </c>
      <c r="M26" s="43">
        <v>107</v>
      </c>
      <c r="N26" s="35">
        <v>106.7</v>
      </c>
      <c r="O26" s="92">
        <v>106.7</v>
      </c>
      <c r="P26" s="101">
        <v>107.8</v>
      </c>
      <c r="Q26" s="44">
        <v>105.8</v>
      </c>
      <c r="R26" s="43"/>
      <c r="S26" s="35">
        <v>209</v>
      </c>
      <c r="T26" s="100"/>
      <c r="U26" s="137"/>
      <c r="V26" s="97">
        <v>251.1</v>
      </c>
      <c r="W26" s="43">
        <v>189.2</v>
      </c>
      <c r="X26" s="100"/>
      <c r="Y26" s="55"/>
      <c r="Z26" s="35">
        <v>261.39999999999998</v>
      </c>
      <c r="AA26" s="92">
        <v>257.5</v>
      </c>
    </row>
    <row r="27" spans="1:27" x14ac:dyDescent="0.3">
      <c r="A27" s="124">
        <v>6</v>
      </c>
      <c r="B27" s="133">
        <v>2009</v>
      </c>
      <c r="C27" s="101">
        <v>106.7</v>
      </c>
      <c r="D27" s="43">
        <v>106.4</v>
      </c>
      <c r="E27" s="118">
        <v>106.8</v>
      </c>
      <c r="F27" s="101">
        <v>107.2</v>
      </c>
      <c r="G27" s="125">
        <v>107.2</v>
      </c>
      <c r="H27" s="118">
        <v>107.1</v>
      </c>
      <c r="I27" s="92"/>
      <c r="J27" s="43">
        <v>106.9</v>
      </c>
      <c r="K27" s="97">
        <v>107.2</v>
      </c>
      <c r="L27" s="44">
        <v>105.9</v>
      </c>
      <c r="M27" s="43">
        <v>107.1</v>
      </c>
      <c r="N27" s="35">
        <v>107</v>
      </c>
      <c r="O27" s="92">
        <v>107</v>
      </c>
      <c r="P27" s="101">
        <v>108.4</v>
      </c>
      <c r="Q27" s="44">
        <v>106.5</v>
      </c>
      <c r="R27" s="43"/>
      <c r="S27" s="35">
        <v>208.9</v>
      </c>
      <c r="T27" s="100"/>
      <c r="U27" s="137"/>
      <c r="V27" s="97">
        <v>256.8</v>
      </c>
      <c r="W27" s="43">
        <v>189.2</v>
      </c>
      <c r="X27" s="100"/>
      <c r="Y27" s="55"/>
      <c r="Z27" s="35">
        <v>256.3</v>
      </c>
      <c r="AA27" s="92">
        <v>253.1</v>
      </c>
    </row>
    <row r="28" spans="1:27" x14ac:dyDescent="0.3">
      <c r="A28" s="124">
        <v>7</v>
      </c>
      <c r="B28" s="133">
        <v>2009</v>
      </c>
      <c r="C28" s="101">
        <v>107.9</v>
      </c>
      <c r="D28" s="43">
        <v>108.2</v>
      </c>
      <c r="E28" s="118">
        <v>108.1</v>
      </c>
      <c r="F28" s="101">
        <v>108.7</v>
      </c>
      <c r="G28" s="125">
        <v>108</v>
      </c>
      <c r="H28" s="118">
        <v>108</v>
      </c>
      <c r="I28" s="92"/>
      <c r="J28" s="43">
        <v>108.7</v>
      </c>
      <c r="K28" s="97">
        <v>107.9</v>
      </c>
      <c r="L28" s="44">
        <v>107.8</v>
      </c>
      <c r="M28" s="43">
        <v>108.3</v>
      </c>
      <c r="N28" s="35">
        <v>108.2</v>
      </c>
      <c r="O28" s="92">
        <v>108.2</v>
      </c>
      <c r="P28" s="101">
        <v>109.6</v>
      </c>
      <c r="Q28" s="44">
        <v>107.5</v>
      </c>
      <c r="R28" s="43"/>
      <c r="S28" s="35">
        <v>211.3</v>
      </c>
      <c r="T28" s="100"/>
      <c r="U28" s="137"/>
      <c r="V28" s="97">
        <v>266.2</v>
      </c>
      <c r="W28" s="43">
        <v>189.2</v>
      </c>
      <c r="X28" s="100"/>
      <c r="Y28" s="55"/>
      <c r="Z28" s="35">
        <v>272.10000000000002</v>
      </c>
      <c r="AA28" s="92">
        <v>269.10000000000002</v>
      </c>
    </row>
    <row r="29" spans="1:27" x14ac:dyDescent="0.3">
      <c r="A29" s="124">
        <v>8</v>
      </c>
      <c r="B29" s="133">
        <v>2009</v>
      </c>
      <c r="C29" s="101">
        <v>108.2</v>
      </c>
      <c r="D29" s="43">
        <v>108.6</v>
      </c>
      <c r="E29" s="118">
        <v>108.3</v>
      </c>
      <c r="F29" s="101">
        <v>109.2</v>
      </c>
      <c r="G29" s="125">
        <v>108.1</v>
      </c>
      <c r="H29" s="118">
        <v>108.2</v>
      </c>
      <c r="I29" s="92"/>
      <c r="J29" s="43">
        <v>108.9</v>
      </c>
      <c r="K29" s="97">
        <v>108.5</v>
      </c>
      <c r="L29" s="44">
        <v>108.1</v>
      </c>
      <c r="M29" s="43">
        <v>108.7</v>
      </c>
      <c r="N29" s="35">
        <v>108.4</v>
      </c>
      <c r="O29" s="92">
        <v>108.4</v>
      </c>
      <c r="P29" s="101">
        <v>110.2</v>
      </c>
      <c r="Q29" s="44">
        <v>107.6</v>
      </c>
      <c r="R29" s="43"/>
      <c r="S29" s="35">
        <v>210.1</v>
      </c>
      <c r="T29" s="100"/>
      <c r="U29" s="137"/>
      <c r="V29" s="97">
        <v>262.10000000000002</v>
      </c>
      <c r="W29" s="43">
        <v>190.9</v>
      </c>
      <c r="X29" s="100"/>
      <c r="Y29" s="55"/>
      <c r="Z29" s="35">
        <v>264.2</v>
      </c>
      <c r="AA29" s="92">
        <v>261.10000000000002</v>
      </c>
    </row>
    <row r="30" spans="1:27" x14ac:dyDescent="0.3">
      <c r="A30" s="124">
        <v>9</v>
      </c>
      <c r="B30" s="133">
        <v>2009</v>
      </c>
      <c r="C30" s="101">
        <v>108.8</v>
      </c>
      <c r="D30" s="43">
        <v>108.8</v>
      </c>
      <c r="E30" s="118">
        <v>109</v>
      </c>
      <c r="F30" s="101">
        <v>109.6</v>
      </c>
      <c r="G30" s="125">
        <v>108.4</v>
      </c>
      <c r="H30" s="118">
        <v>108.5</v>
      </c>
      <c r="I30" s="92"/>
      <c r="J30" s="43">
        <v>109.4</v>
      </c>
      <c r="K30" s="97">
        <v>108.8</v>
      </c>
      <c r="L30" s="44">
        <v>108.4</v>
      </c>
      <c r="M30" s="43">
        <v>108.8</v>
      </c>
      <c r="N30" s="35">
        <v>108.8</v>
      </c>
      <c r="O30" s="92">
        <v>108.8</v>
      </c>
      <c r="P30" s="101">
        <v>110.4</v>
      </c>
      <c r="Q30" s="44">
        <v>108</v>
      </c>
      <c r="R30" s="43"/>
      <c r="S30" s="35">
        <v>209.8</v>
      </c>
      <c r="T30" s="100"/>
      <c r="U30" s="137"/>
      <c r="V30" s="97">
        <v>272.60000000000002</v>
      </c>
      <c r="W30" s="43">
        <v>190.9</v>
      </c>
      <c r="X30" s="100"/>
      <c r="Y30" s="55"/>
      <c r="Z30" s="35">
        <v>277.7</v>
      </c>
      <c r="AA30" s="92">
        <v>274.7</v>
      </c>
    </row>
    <row r="31" spans="1:27" x14ac:dyDescent="0.3">
      <c r="A31" s="124">
        <v>10</v>
      </c>
      <c r="B31" s="133">
        <v>2009</v>
      </c>
      <c r="C31" s="101">
        <v>108.9</v>
      </c>
      <c r="D31" s="43">
        <v>108.8</v>
      </c>
      <c r="E31" s="118">
        <v>108.9</v>
      </c>
      <c r="F31" s="101">
        <v>109.7</v>
      </c>
      <c r="G31" s="125">
        <v>108.4</v>
      </c>
      <c r="H31" s="118">
        <v>108.4</v>
      </c>
      <c r="I31" s="92"/>
      <c r="J31" s="43">
        <v>109.3</v>
      </c>
      <c r="K31" s="97">
        <v>108.8</v>
      </c>
      <c r="L31" s="44">
        <v>108.2</v>
      </c>
      <c r="M31" s="43">
        <v>108.7</v>
      </c>
      <c r="N31" s="35">
        <v>108.7</v>
      </c>
      <c r="O31" s="92">
        <v>108.7</v>
      </c>
      <c r="P31" s="101">
        <v>110.4</v>
      </c>
      <c r="Q31" s="44">
        <v>108.1</v>
      </c>
      <c r="R31" s="43"/>
      <c r="S31" s="35">
        <v>209.5</v>
      </c>
      <c r="T31" s="100"/>
      <c r="U31" s="137"/>
      <c r="V31" s="97">
        <v>257.7</v>
      </c>
      <c r="W31" s="43">
        <v>190.9</v>
      </c>
      <c r="X31" s="100"/>
      <c r="Y31" s="55"/>
      <c r="Z31" s="35">
        <v>265</v>
      </c>
      <c r="AA31" s="92">
        <v>261.89999999999998</v>
      </c>
    </row>
    <row r="32" spans="1:27" x14ac:dyDescent="0.3">
      <c r="A32" s="124">
        <v>11</v>
      </c>
      <c r="B32" s="133">
        <v>2009</v>
      </c>
      <c r="C32" s="101">
        <v>109</v>
      </c>
      <c r="D32" s="43">
        <v>108.8</v>
      </c>
      <c r="E32" s="118">
        <v>108.8</v>
      </c>
      <c r="F32" s="101">
        <v>109.6</v>
      </c>
      <c r="G32" s="125">
        <v>108.3</v>
      </c>
      <c r="H32" s="118">
        <v>108.4</v>
      </c>
      <c r="I32" s="92"/>
      <c r="J32" s="43">
        <v>109.4</v>
      </c>
      <c r="K32" s="97">
        <v>108.8</v>
      </c>
      <c r="L32" s="44">
        <v>108.2</v>
      </c>
      <c r="M32" s="43">
        <v>108.6</v>
      </c>
      <c r="N32" s="35">
        <v>108.7</v>
      </c>
      <c r="O32" s="92">
        <v>108.7</v>
      </c>
      <c r="P32" s="101">
        <v>110.4</v>
      </c>
      <c r="Q32" s="44">
        <v>108</v>
      </c>
      <c r="R32" s="43"/>
      <c r="S32" s="35">
        <v>209.8</v>
      </c>
      <c r="T32" s="100"/>
      <c r="U32" s="137"/>
      <c r="V32" s="97">
        <v>262.2</v>
      </c>
      <c r="W32" s="43">
        <v>188.1</v>
      </c>
      <c r="X32" s="100"/>
      <c r="Y32" s="55"/>
      <c r="Z32" s="35">
        <v>268.89999999999998</v>
      </c>
      <c r="AA32" s="92">
        <v>265.89999999999998</v>
      </c>
    </row>
    <row r="33" spans="1:27" x14ac:dyDescent="0.3">
      <c r="A33" s="124">
        <v>12</v>
      </c>
      <c r="B33" s="133">
        <v>2009</v>
      </c>
      <c r="C33" s="101">
        <v>109.7</v>
      </c>
      <c r="D33" s="43">
        <v>109</v>
      </c>
      <c r="E33" s="118">
        <v>109.1</v>
      </c>
      <c r="F33" s="101">
        <v>109.6</v>
      </c>
      <c r="G33" s="125">
        <v>108.4</v>
      </c>
      <c r="H33" s="118">
        <v>108.7</v>
      </c>
      <c r="I33" s="92"/>
      <c r="J33" s="43">
        <v>109.8</v>
      </c>
      <c r="K33" s="97">
        <v>108.5</v>
      </c>
      <c r="L33" s="44">
        <v>108.8</v>
      </c>
      <c r="M33" s="43">
        <v>108.8</v>
      </c>
      <c r="N33" s="35">
        <v>108.9</v>
      </c>
      <c r="O33" s="92">
        <v>108.9</v>
      </c>
      <c r="P33" s="101">
        <v>110.7</v>
      </c>
      <c r="Q33" s="44">
        <v>108.2</v>
      </c>
      <c r="R33" s="43"/>
      <c r="S33" s="35">
        <v>209.8</v>
      </c>
      <c r="T33" s="100"/>
      <c r="U33" s="137"/>
      <c r="V33" s="97">
        <v>275.39999999999998</v>
      </c>
      <c r="W33" s="43">
        <v>188.1</v>
      </c>
      <c r="X33" s="100"/>
      <c r="Y33" s="55"/>
      <c r="Z33" s="35">
        <v>278.89999999999998</v>
      </c>
      <c r="AA33" s="92">
        <v>275.89999999999998</v>
      </c>
    </row>
    <row r="34" spans="1:27" x14ac:dyDescent="0.3">
      <c r="A34" s="124">
        <v>1</v>
      </c>
      <c r="B34" s="133">
        <v>2010</v>
      </c>
      <c r="C34" s="101">
        <v>110</v>
      </c>
      <c r="D34" s="43">
        <v>109.2</v>
      </c>
      <c r="E34" s="118">
        <v>109.2</v>
      </c>
      <c r="F34" s="101">
        <v>109.9</v>
      </c>
      <c r="G34" s="125">
        <v>108.9</v>
      </c>
      <c r="H34" s="118">
        <v>109.2</v>
      </c>
      <c r="I34" s="92"/>
      <c r="J34" s="43">
        <v>110.2</v>
      </c>
      <c r="K34" s="97">
        <v>108.8</v>
      </c>
      <c r="L34" s="44">
        <v>109.2</v>
      </c>
      <c r="M34" s="43">
        <v>109.1</v>
      </c>
      <c r="N34" s="35">
        <v>109.2</v>
      </c>
      <c r="O34" s="92">
        <v>109.2</v>
      </c>
      <c r="P34" s="101">
        <v>111.1</v>
      </c>
      <c r="Q34" s="44">
        <v>108.3</v>
      </c>
      <c r="R34" s="43"/>
      <c r="S34" s="35">
        <v>212.5</v>
      </c>
      <c r="T34" s="100"/>
      <c r="U34" s="137"/>
      <c r="V34" s="97">
        <v>269.10000000000002</v>
      </c>
      <c r="W34" s="43">
        <v>188.1</v>
      </c>
      <c r="X34" s="100"/>
      <c r="Y34" s="55"/>
      <c r="Z34" s="35">
        <v>273.3</v>
      </c>
      <c r="AA34" s="92">
        <v>270.3</v>
      </c>
    </row>
    <row r="35" spans="1:27" x14ac:dyDescent="0.3">
      <c r="A35" s="124">
        <v>2</v>
      </c>
      <c r="B35" s="133">
        <v>2010</v>
      </c>
      <c r="C35" s="101">
        <v>110.4</v>
      </c>
      <c r="D35" s="43">
        <v>110</v>
      </c>
      <c r="E35" s="118">
        <v>110</v>
      </c>
      <c r="F35" s="101">
        <v>110.2</v>
      </c>
      <c r="G35" s="125">
        <v>109.4</v>
      </c>
      <c r="H35" s="118">
        <v>109.5</v>
      </c>
      <c r="I35" s="92"/>
      <c r="J35" s="43">
        <v>110.9</v>
      </c>
      <c r="K35" s="97">
        <v>109.5</v>
      </c>
      <c r="L35" s="44">
        <v>109.8</v>
      </c>
      <c r="M35" s="43">
        <v>110</v>
      </c>
      <c r="N35" s="35">
        <v>109.9</v>
      </c>
      <c r="O35" s="92">
        <v>109.9</v>
      </c>
      <c r="P35" s="101">
        <v>111.9</v>
      </c>
      <c r="Q35" s="44">
        <v>109.2</v>
      </c>
      <c r="R35" s="43"/>
      <c r="S35" s="35">
        <v>213</v>
      </c>
      <c r="T35" s="100"/>
      <c r="U35" s="137"/>
      <c r="V35" s="97">
        <v>276.39999999999998</v>
      </c>
      <c r="W35" s="43">
        <v>188</v>
      </c>
      <c r="X35" s="100"/>
      <c r="Y35" s="55"/>
      <c r="Z35" s="35">
        <v>277.3</v>
      </c>
      <c r="AA35" s="92">
        <v>274.3</v>
      </c>
    </row>
    <row r="36" spans="1:27" x14ac:dyDescent="0.3">
      <c r="A36" s="124">
        <v>3</v>
      </c>
      <c r="B36" s="133">
        <v>2010</v>
      </c>
      <c r="C36" s="170">
        <v>111.7</v>
      </c>
      <c r="D36" s="43">
        <v>111</v>
      </c>
      <c r="E36" s="118">
        <v>111</v>
      </c>
      <c r="F36" s="101">
        <v>110.8</v>
      </c>
      <c r="G36" s="125">
        <v>110.4</v>
      </c>
      <c r="H36" s="118">
        <v>110.4</v>
      </c>
      <c r="I36" s="92"/>
      <c r="J36" s="43">
        <v>111.9</v>
      </c>
      <c r="K36" s="97">
        <v>110.5</v>
      </c>
      <c r="L36" s="44">
        <v>110.9</v>
      </c>
      <c r="M36" s="43">
        <v>110.7</v>
      </c>
      <c r="N36" s="35">
        <v>110.9</v>
      </c>
      <c r="O36" s="92">
        <v>110.9</v>
      </c>
      <c r="P36" s="101">
        <v>112.7</v>
      </c>
      <c r="Q36" s="44">
        <v>109.9</v>
      </c>
      <c r="R36" s="43"/>
      <c r="S36" s="35">
        <v>213</v>
      </c>
      <c r="T36" s="100"/>
      <c r="U36" s="137"/>
      <c r="V36" s="97">
        <v>280.39999999999998</v>
      </c>
      <c r="W36" s="43">
        <v>188.9</v>
      </c>
      <c r="X36" s="100"/>
      <c r="Y36" s="55"/>
      <c r="Z36" s="35">
        <v>278.89999999999998</v>
      </c>
      <c r="AA36" s="92">
        <v>275.89999999999998</v>
      </c>
    </row>
    <row r="37" spans="1:27" x14ac:dyDescent="0.3">
      <c r="A37" s="124">
        <v>4</v>
      </c>
      <c r="B37" s="133">
        <v>2010</v>
      </c>
      <c r="C37" s="101">
        <v>112</v>
      </c>
      <c r="D37" s="43">
        <v>111.2</v>
      </c>
      <c r="E37" s="118">
        <v>111.4</v>
      </c>
      <c r="F37" s="101">
        <v>111.3</v>
      </c>
      <c r="G37" s="125">
        <v>110.3</v>
      </c>
      <c r="H37" s="118">
        <v>110.5</v>
      </c>
      <c r="I37" s="92"/>
      <c r="J37" s="43">
        <v>112.1</v>
      </c>
      <c r="K37" s="97">
        <v>110.7</v>
      </c>
      <c r="L37" s="44">
        <v>111.1</v>
      </c>
      <c r="M37" s="43">
        <v>110.9</v>
      </c>
      <c r="N37" s="35">
        <v>111.4</v>
      </c>
      <c r="O37" s="92">
        <v>111.4</v>
      </c>
      <c r="P37" s="101">
        <v>112.8</v>
      </c>
      <c r="Q37" s="44">
        <v>109.9</v>
      </c>
      <c r="R37" s="43"/>
      <c r="S37" s="35">
        <v>212.8</v>
      </c>
      <c r="T37" s="100"/>
      <c r="U37" s="137"/>
      <c r="V37" s="97">
        <v>296.5</v>
      </c>
      <c r="W37" s="43">
        <v>188.9</v>
      </c>
      <c r="X37" s="100"/>
      <c r="Y37" s="55"/>
      <c r="Z37" s="35">
        <v>298.3</v>
      </c>
      <c r="AA37" s="92">
        <v>295.5</v>
      </c>
    </row>
    <row r="38" spans="1:27" x14ac:dyDescent="0.3">
      <c r="A38" s="124">
        <v>5</v>
      </c>
      <c r="B38" s="133">
        <v>2010</v>
      </c>
      <c r="C38" s="101">
        <v>112.1</v>
      </c>
      <c r="D38" s="43">
        <v>111.4</v>
      </c>
      <c r="E38" s="118">
        <v>111.3</v>
      </c>
      <c r="F38" s="101">
        <v>111.5</v>
      </c>
      <c r="G38" s="125">
        <v>110.7</v>
      </c>
      <c r="H38" s="118">
        <v>110.7</v>
      </c>
      <c r="I38" s="92"/>
      <c r="J38" s="43">
        <v>112.2</v>
      </c>
      <c r="K38" s="97">
        <v>110.8</v>
      </c>
      <c r="L38" s="44">
        <v>111.2</v>
      </c>
      <c r="M38" s="43">
        <v>111.2</v>
      </c>
      <c r="N38" s="35">
        <v>111.4</v>
      </c>
      <c r="O38" s="92">
        <v>111.4</v>
      </c>
      <c r="P38" s="101">
        <v>113</v>
      </c>
      <c r="Q38" s="44">
        <v>110.3</v>
      </c>
      <c r="R38" s="43"/>
      <c r="S38" s="35">
        <v>215.4</v>
      </c>
      <c r="T38" s="100"/>
      <c r="U38" s="137"/>
      <c r="V38" s="97">
        <v>304.39999999999998</v>
      </c>
      <c r="W38" s="43">
        <v>187.6</v>
      </c>
      <c r="X38" s="100"/>
      <c r="Y38" s="55"/>
      <c r="Z38" s="35">
        <v>309.8</v>
      </c>
      <c r="AA38" s="92">
        <v>306.7</v>
      </c>
    </row>
    <row r="39" spans="1:27" x14ac:dyDescent="0.3">
      <c r="A39" s="124">
        <v>6</v>
      </c>
      <c r="B39" s="133">
        <v>2010</v>
      </c>
      <c r="C39" s="101">
        <v>112</v>
      </c>
      <c r="D39" s="43">
        <v>111.7</v>
      </c>
      <c r="E39" s="118">
        <v>111.4</v>
      </c>
      <c r="F39" s="101">
        <v>111.1</v>
      </c>
      <c r="G39" s="125">
        <v>110.9</v>
      </c>
      <c r="H39" s="118">
        <v>110.7</v>
      </c>
      <c r="I39" s="92"/>
      <c r="J39" s="43">
        <v>112.5</v>
      </c>
      <c r="K39" s="97">
        <v>111</v>
      </c>
      <c r="L39" s="44">
        <v>110.9</v>
      </c>
      <c r="M39" s="43">
        <v>111.1</v>
      </c>
      <c r="N39" s="35">
        <v>111.5</v>
      </c>
      <c r="O39" s="92">
        <v>111.5</v>
      </c>
      <c r="P39" s="101">
        <v>113.2</v>
      </c>
      <c r="Q39" s="44">
        <v>110.4</v>
      </c>
      <c r="R39" s="43"/>
      <c r="S39" s="35">
        <v>216.7</v>
      </c>
      <c r="T39" s="100"/>
      <c r="U39" s="137"/>
      <c r="V39" s="97">
        <v>300.5</v>
      </c>
      <c r="W39" s="43">
        <v>187.4</v>
      </c>
      <c r="X39" s="100"/>
      <c r="Y39" s="55"/>
      <c r="Z39" s="35">
        <v>303.89999999999998</v>
      </c>
      <c r="AA39" s="92">
        <v>301.10000000000002</v>
      </c>
    </row>
    <row r="40" spans="1:27" x14ac:dyDescent="0.3">
      <c r="A40" s="124">
        <v>7</v>
      </c>
      <c r="B40" s="133">
        <v>2010</v>
      </c>
      <c r="C40" s="101">
        <v>112.5</v>
      </c>
      <c r="D40" s="43">
        <v>112.5</v>
      </c>
      <c r="E40" s="118">
        <v>112</v>
      </c>
      <c r="F40" s="101">
        <v>112.7</v>
      </c>
      <c r="G40" s="125">
        <v>111.9</v>
      </c>
      <c r="H40" s="118">
        <v>110.9</v>
      </c>
      <c r="I40" s="92"/>
      <c r="J40" s="43">
        <v>113.2</v>
      </c>
      <c r="K40" s="97">
        <v>111.5</v>
      </c>
      <c r="L40" s="44">
        <v>112.2</v>
      </c>
      <c r="M40" s="43">
        <v>111.6</v>
      </c>
      <c r="N40" s="35">
        <v>112.5</v>
      </c>
      <c r="O40" s="92">
        <v>112.5</v>
      </c>
      <c r="P40" s="101">
        <v>113.2</v>
      </c>
      <c r="Q40" s="44">
        <v>110.9</v>
      </c>
      <c r="R40" s="43"/>
      <c r="S40" s="35">
        <v>214.1</v>
      </c>
      <c r="T40" s="100"/>
      <c r="U40" s="137"/>
      <c r="V40" s="97">
        <v>296</v>
      </c>
      <c r="W40" s="43">
        <v>187.2</v>
      </c>
      <c r="X40" s="100"/>
      <c r="Y40" s="55"/>
      <c r="Z40" s="35">
        <v>297.89999999999998</v>
      </c>
      <c r="AA40" s="92">
        <v>295.10000000000002</v>
      </c>
    </row>
    <row r="41" spans="1:27" x14ac:dyDescent="0.3">
      <c r="A41" s="124">
        <v>8</v>
      </c>
      <c r="B41" s="133">
        <v>2010</v>
      </c>
      <c r="C41" s="101">
        <v>112.5</v>
      </c>
      <c r="D41" s="43">
        <v>112.4</v>
      </c>
      <c r="E41" s="118">
        <v>112</v>
      </c>
      <c r="F41" s="101">
        <v>112.8</v>
      </c>
      <c r="G41" s="125">
        <v>112.1</v>
      </c>
      <c r="H41" s="118">
        <v>110.9</v>
      </c>
      <c r="I41" s="92"/>
      <c r="J41" s="43">
        <v>113.1</v>
      </c>
      <c r="K41" s="97">
        <v>111.7</v>
      </c>
      <c r="L41" s="44">
        <v>112.1</v>
      </c>
      <c r="M41" s="43">
        <v>111.7</v>
      </c>
      <c r="N41" s="35">
        <v>112.7</v>
      </c>
      <c r="O41" s="92">
        <v>112.7</v>
      </c>
      <c r="P41" s="101">
        <v>114</v>
      </c>
      <c r="Q41" s="44">
        <v>111</v>
      </c>
      <c r="R41" s="43"/>
      <c r="S41" s="35">
        <v>212.6</v>
      </c>
      <c r="T41" s="100"/>
      <c r="U41" s="137"/>
      <c r="V41" s="97">
        <v>293.10000000000002</v>
      </c>
      <c r="W41" s="43">
        <v>186.7</v>
      </c>
      <c r="X41" s="100"/>
      <c r="Y41" s="55"/>
      <c r="Z41" s="35">
        <v>292.7</v>
      </c>
      <c r="AA41" s="92">
        <v>289.89999999999998</v>
      </c>
    </row>
    <row r="42" spans="1:27" x14ac:dyDescent="0.3">
      <c r="A42" s="124">
        <v>9</v>
      </c>
      <c r="B42" s="133">
        <v>2010</v>
      </c>
      <c r="C42" s="101">
        <v>112.6</v>
      </c>
      <c r="D42" s="43">
        <v>112.7</v>
      </c>
      <c r="E42" s="118">
        <v>112</v>
      </c>
      <c r="F42" s="101">
        <v>113</v>
      </c>
      <c r="G42" s="125">
        <v>112.7</v>
      </c>
      <c r="H42" s="118">
        <v>110.7</v>
      </c>
      <c r="I42" s="92"/>
      <c r="J42" s="43">
        <v>113.5</v>
      </c>
      <c r="K42" s="97">
        <v>111.7</v>
      </c>
      <c r="L42" s="44">
        <v>112</v>
      </c>
      <c r="M42" s="43">
        <v>111.8</v>
      </c>
      <c r="N42" s="35">
        <v>113.3</v>
      </c>
      <c r="O42" s="92">
        <v>113.3</v>
      </c>
      <c r="P42" s="101">
        <v>114.2</v>
      </c>
      <c r="Q42" s="44">
        <v>111.4</v>
      </c>
      <c r="R42" s="43"/>
      <c r="S42" s="35">
        <v>212.6</v>
      </c>
      <c r="T42" s="100"/>
      <c r="U42" s="137"/>
      <c r="V42" s="97">
        <v>290.60000000000002</v>
      </c>
      <c r="W42" s="43">
        <v>186.7</v>
      </c>
      <c r="X42" s="100"/>
      <c r="Y42" s="55"/>
      <c r="Z42" s="35">
        <v>292.7</v>
      </c>
      <c r="AA42" s="92">
        <v>289.89999999999998</v>
      </c>
    </row>
    <row r="43" spans="1:27" x14ac:dyDescent="0.3">
      <c r="A43" s="124">
        <v>10</v>
      </c>
      <c r="B43" s="133">
        <v>2010</v>
      </c>
      <c r="C43" s="101">
        <v>112.8</v>
      </c>
      <c r="D43" s="43">
        <v>112.8</v>
      </c>
      <c r="E43" s="118">
        <v>112.3</v>
      </c>
      <c r="F43" s="101">
        <v>113.3</v>
      </c>
      <c r="G43" s="125">
        <v>112.6</v>
      </c>
      <c r="H43" s="118">
        <v>110.9</v>
      </c>
      <c r="I43" s="92"/>
      <c r="J43" s="43">
        <v>113.6</v>
      </c>
      <c r="K43" s="97">
        <v>111.9</v>
      </c>
      <c r="L43" s="44">
        <v>112.3</v>
      </c>
      <c r="M43" s="43">
        <v>111.9</v>
      </c>
      <c r="N43" s="35">
        <v>113.5</v>
      </c>
      <c r="O43" s="92">
        <v>113.5</v>
      </c>
      <c r="P43" s="101">
        <v>114.8</v>
      </c>
      <c r="Q43" s="44">
        <v>111.9</v>
      </c>
      <c r="R43" s="43"/>
      <c r="S43" s="35">
        <v>213.7</v>
      </c>
      <c r="T43" s="100">
        <v>248.8</v>
      </c>
      <c r="U43" s="137">
        <v>264.60000000000002</v>
      </c>
      <c r="V43" s="97">
        <v>291.3</v>
      </c>
      <c r="W43" s="43">
        <v>186.8</v>
      </c>
      <c r="X43" s="100">
        <v>205.1</v>
      </c>
      <c r="Y43" s="55">
        <v>189.4</v>
      </c>
      <c r="Z43" s="35">
        <v>291.60000000000002</v>
      </c>
      <c r="AA43" s="92">
        <v>288.7</v>
      </c>
    </row>
    <row r="44" spans="1:27" x14ac:dyDescent="0.3">
      <c r="A44" s="124">
        <v>11</v>
      </c>
      <c r="B44" s="133">
        <v>2010</v>
      </c>
      <c r="C44" s="101">
        <v>112.9</v>
      </c>
      <c r="D44" s="43">
        <v>113.1</v>
      </c>
      <c r="E44" s="118">
        <v>112.3</v>
      </c>
      <c r="F44" s="101">
        <v>113.3</v>
      </c>
      <c r="G44" s="125">
        <v>112.8</v>
      </c>
      <c r="H44" s="118">
        <v>111</v>
      </c>
      <c r="I44" s="92"/>
      <c r="J44" s="43">
        <v>113.9</v>
      </c>
      <c r="K44" s="97">
        <v>112.1</v>
      </c>
      <c r="L44" s="44">
        <v>112.5</v>
      </c>
      <c r="M44" s="43">
        <v>112.2</v>
      </c>
      <c r="N44" s="35">
        <v>113.6</v>
      </c>
      <c r="O44" s="92">
        <v>113.6</v>
      </c>
      <c r="P44" s="101">
        <v>114.6</v>
      </c>
      <c r="Q44" s="44">
        <v>112.1</v>
      </c>
      <c r="R44" s="43"/>
      <c r="S44" s="35">
        <v>212.9</v>
      </c>
      <c r="T44" s="100">
        <v>248.7</v>
      </c>
      <c r="U44" s="137">
        <v>264.7</v>
      </c>
      <c r="V44" s="97">
        <v>299</v>
      </c>
      <c r="W44" s="43">
        <v>187.5</v>
      </c>
      <c r="X44" s="100">
        <v>205.4</v>
      </c>
      <c r="Y44" s="55">
        <v>190.1</v>
      </c>
      <c r="Z44" s="35">
        <v>301.5</v>
      </c>
      <c r="AA44" s="92">
        <v>298.7</v>
      </c>
    </row>
    <row r="45" spans="1:27" x14ac:dyDescent="0.3">
      <c r="A45" s="124">
        <v>12</v>
      </c>
      <c r="B45" s="133">
        <v>2010</v>
      </c>
      <c r="C45" s="101">
        <v>113.2</v>
      </c>
      <c r="D45" s="43">
        <v>113.2</v>
      </c>
      <c r="E45" s="118">
        <v>112.5</v>
      </c>
      <c r="F45" s="101">
        <v>113.3</v>
      </c>
      <c r="G45" s="125">
        <v>113.1</v>
      </c>
      <c r="H45" s="118">
        <v>111.2</v>
      </c>
      <c r="I45" s="92"/>
      <c r="J45" s="43">
        <v>114</v>
      </c>
      <c r="K45" s="97">
        <v>112.3</v>
      </c>
      <c r="L45" s="44">
        <v>113</v>
      </c>
      <c r="M45" s="43">
        <v>112.2</v>
      </c>
      <c r="N45" s="35">
        <v>113.8</v>
      </c>
      <c r="O45" s="92">
        <v>113.8</v>
      </c>
      <c r="P45" s="101">
        <v>114.6</v>
      </c>
      <c r="Q45" s="44">
        <v>112.1</v>
      </c>
      <c r="R45" s="43"/>
      <c r="S45" s="35">
        <v>213.1</v>
      </c>
      <c r="T45" s="100">
        <v>248.5</v>
      </c>
      <c r="U45" s="137">
        <v>266.2</v>
      </c>
      <c r="V45" s="97">
        <v>309.39999999999998</v>
      </c>
      <c r="W45" s="43">
        <v>185.8</v>
      </c>
      <c r="X45" s="100">
        <v>201.5</v>
      </c>
      <c r="Y45" s="55">
        <v>189.2</v>
      </c>
      <c r="Z45" s="35">
        <v>301.5</v>
      </c>
      <c r="AA45" s="92">
        <v>298.7</v>
      </c>
    </row>
    <row r="46" spans="1:27" x14ac:dyDescent="0.3">
      <c r="A46" s="124">
        <v>1</v>
      </c>
      <c r="B46" s="133">
        <v>2011</v>
      </c>
      <c r="C46" s="101">
        <v>113.7</v>
      </c>
      <c r="D46" s="43">
        <v>113.8</v>
      </c>
      <c r="E46" s="118">
        <v>112.9</v>
      </c>
      <c r="F46" s="101">
        <v>114.2</v>
      </c>
      <c r="G46" s="125">
        <v>113.7</v>
      </c>
      <c r="H46" s="118">
        <v>111.7</v>
      </c>
      <c r="I46" s="92"/>
      <c r="J46" s="43">
        <v>114.1</v>
      </c>
      <c r="K46" s="97">
        <v>112.7</v>
      </c>
      <c r="L46" s="44">
        <v>113.6</v>
      </c>
      <c r="M46" s="43">
        <v>113</v>
      </c>
      <c r="N46" s="35">
        <v>114.6</v>
      </c>
      <c r="O46" s="92">
        <v>114.6</v>
      </c>
      <c r="P46" s="101">
        <v>115.3</v>
      </c>
      <c r="Q46" s="44">
        <v>113</v>
      </c>
      <c r="R46" s="43"/>
      <c r="S46" s="35">
        <v>215.4</v>
      </c>
      <c r="T46" s="100">
        <v>250.3</v>
      </c>
      <c r="U46" s="137">
        <v>266.7</v>
      </c>
      <c r="V46" s="97">
        <v>321</v>
      </c>
      <c r="W46" s="43">
        <v>184.2</v>
      </c>
      <c r="X46" s="100">
        <v>201.9</v>
      </c>
      <c r="Y46" s="55">
        <v>189</v>
      </c>
      <c r="Z46" s="35">
        <v>311</v>
      </c>
      <c r="AA46" s="92">
        <v>307.89999999999998</v>
      </c>
    </row>
    <row r="47" spans="1:27" x14ac:dyDescent="0.3">
      <c r="A47" s="124">
        <v>2</v>
      </c>
      <c r="B47" s="133">
        <v>2011</v>
      </c>
      <c r="C47" s="101">
        <v>114.5</v>
      </c>
      <c r="D47" s="43">
        <v>114.7</v>
      </c>
      <c r="E47" s="118">
        <v>113.8</v>
      </c>
      <c r="F47" s="101">
        <v>114.9</v>
      </c>
      <c r="G47" s="125">
        <v>114.5</v>
      </c>
      <c r="H47" s="118">
        <v>112.4</v>
      </c>
      <c r="I47" s="92"/>
      <c r="J47" s="43">
        <v>114.8</v>
      </c>
      <c r="K47" s="97">
        <v>113.4</v>
      </c>
      <c r="L47" s="44">
        <v>114.3</v>
      </c>
      <c r="M47" s="43">
        <v>113.9</v>
      </c>
      <c r="N47" s="35">
        <v>115.4</v>
      </c>
      <c r="O47" s="92">
        <v>115.4</v>
      </c>
      <c r="P47" s="101">
        <v>116.1</v>
      </c>
      <c r="Q47" s="44">
        <v>113.8</v>
      </c>
      <c r="R47" s="43"/>
      <c r="S47" s="35">
        <v>215.9</v>
      </c>
      <c r="T47" s="100">
        <v>257.89999999999998</v>
      </c>
      <c r="U47" s="137">
        <v>272.2</v>
      </c>
      <c r="V47" s="97">
        <v>350.9</v>
      </c>
      <c r="W47" s="43">
        <v>186.6</v>
      </c>
      <c r="X47" s="100">
        <v>202.7</v>
      </c>
      <c r="Y47" s="55">
        <v>190.4</v>
      </c>
      <c r="Z47" s="35">
        <v>322.89999999999998</v>
      </c>
      <c r="AA47" s="92">
        <v>319.89999999999998</v>
      </c>
    </row>
    <row r="48" spans="1:27" x14ac:dyDescent="0.3">
      <c r="A48" s="124">
        <v>3</v>
      </c>
      <c r="B48" s="133">
        <v>2011</v>
      </c>
      <c r="C48" s="101">
        <v>116</v>
      </c>
      <c r="D48" s="43">
        <v>116.1</v>
      </c>
      <c r="E48" s="118">
        <v>115</v>
      </c>
      <c r="F48" s="101">
        <v>116.4</v>
      </c>
      <c r="G48" s="125">
        <v>115.5</v>
      </c>
      <c r="H48" s="118">
        <v>113.5</v>
      </c>
      <c r="I48" s="92"/>
      <c r="J48" s="43">
        <v>116.1</v>
      </c>
      <c r="K48" s="97">
        <v>114.6</v>
      </c>
      <c r="L48" s="44">
        <v>115.9</v>
      </c>
      <c r="M48" s="43">
        <v>115.2</v>
      </c>
      <c r="N48" s="35">
        <v>116.9</v>
      </c>
      <c r="O48" s="92">
        <v>116.9</v>
      </c>
      <c r="P48" s="101">
        <v>116.9</v>
      </c>
      <c r="Q48" s="44">
        <v>115.4</v>
      </c>
      <c r="R48" s="43"/>
      <c r="S48" s="35">
        <v>217.4</v>
      </c>
      <c r="T48" s="100">
        <v>261.5</v>
      </c>
      <c r="U48" s="137">
        <v>283.10000000000002</v>
      </c>
      <c r="V48" s="97">
        <v>374.2</v>
      </c>
      <c r="W48" s="43">
        <v>187.3</v>
      </c>
      <c r="X48" s="100">
        <v>204</v>
      </c>
      <c r="Y48" s="55">
        <v>191.3</v>
      </c>
      <c r="Z48" s="35">
        <v>348.3</v>
      </c>
      <c r="AA48" s="92">
        <v>345.5</v>
      </c>
    </row>
    <row r="49" spans="1:27" x14ac:dyDescent="0.3">
      <c r="A49" s="124">
        <v>4</v>
      </c>
      <c r="B49" s="133">
        <v>2011</v>
      </c>
      <c r="C49" s="101">
        <v>116.3</v>
      </c>
      <c r="D49" s="43">
        <v>116.4</v>
      </c>
      <c r="E49" s="118">
        <v>115.3</v>
      </c>
      <c r="F49" s="101">
        <v>116.7</v>
      </c>
      <c r="G49" s="125">
        <v>116.1</v>
      </c>
      <c r="H49" s="118">
        <v>114</v>
      </c>
      <c r="I49" s="92"/>
      <c r="J49" s="43">
        <v>116.6</v>
      </c>
      <c r="K49" s="97">
        <v>114.8</v>
      </c>
      <c r="L49" s="44">
        <v>116.4</v>
      </c>
      <c r="M49" s="43">
        <v>115.6</v>
      </c>
      <c r="N49" s="35">
        <v>117.4</v>
      </c>
      <c r="O49" s="92">
        <v>117.4</v>
      </c>
      <c r="P49" s="101">
        <v>117.1</v>
      </c>
      <c r="Q49" s="44">
        <v>115.6</v>
      </c>
      <c r="R49" s="43"/>
      <c r="S49" s="35">
        <v>216</v>
      </c>
      <c r="T49" s="100">
        <v>261.60000000000002</v>
      </c>
      <c r="U49" s="137">
        <v>292.7</v>
      </c>
      <c r="V49" s="97">
        <v>396.8</v>
      </c>
      <c r="W49" s="43">
        <v>187.5</v>
      </c>
      <c r="X49" s="100">
        <v>204</v>
      </c>
      <c r="Y49" s="55">
        <v>191.8</v>
      </c>
      <c r="Z49" s="35">
        <v>376.1</v>
      </c>
      <c r="AA49" s="92">
        <v>371.1</v>
      </c>
    </row>
    <row r="50" spans="1:27" x14ac:dyDescent="0.3">
      <c r="A50" s="124">
        <v>5</v>
      </c>
      <c r="B50" s="133">
        <v>2011</v>
      </c>
      <c r="C50" s="101">
        <v>116.9</v>
      </c>
      <c r="D50" s="43">
        <v>116.9</v>
      </c>
      <c r="E50" s="118">
        <v>115.9</v>
      </c>
      <c r="F50" s="101">
        <v>117.1</v>
      </c>
      <c r="G50" s="125">
        <v>116.5</v>
      </c>
      <c r="H50" s="118">
        <v>114.7</v>
      </c>
      <c r="I50" s="92"/>
      <c r="J50" s="43">
        <v>117.2</v>
      </c>
      <c r="K50" s="97">
        <v>115.4</v>
      </c>
      <c r="L50" s="44">
        <v>117</v>
      </c>
      <c r="M50" s="43">
        <v>116.1</v>
      </c>
      <c r="N50" s="105">
        <v>117.8</v>
      </c>
      <c r="O50" s="126">
        <v>117.8</v>
      </c>
      <c r="P50" s="101">
        <v>117.7</v>
      </c>
      <c r="Q50" s="44">
        <v>116.3</v>
      </c>
      <c r="R50" s="43"/>
      <c r="S50" s="35">
        <v>215.7</v>
      </c>
      <c r="T50" s="100">
        <v>261.3</v>
      </c>
      <c r="U50" s="137">
        <v>294</v>
      </c>
      <c r="V50" s="97">
        <v>392.3</v>
      </c>
      <c r="W50" s="43">
        <v>187.5</v>
      </c>
      <c r="X50" s="100">
        <v>205.5</v>
      </c>
      <c r="Y50" s="55">
        <v>193.3</v>
      </c>
      <c r="Z50" s="35">
        <v>382.4</v>
      </c>
      <c r="AA50" s="92">
        <v>377.5</v>
      </c>
    </row>
    <row r="51" spans="1:27" x14ac:dyDescent="0.3">
      <c r="A51" s="124">
        <v>6</v>
      </c>
      <c r="B51" s="133">
        <v>2011</v>
      </c>
      <c r="C51" s="101">
        <v>117.3</v>
      </c>
      <c r="D51" s="43">
        <v>117.1</v>
      </c>
      <c r="E51" s="118">
        <v>116.6</v>
      </c>
      <c r="F51" s="101">
        <v>117.4</v>
      </c>
      <c r="G51" s="125">
        <v>117.2</v>
      </c>
      <c r="H51" s="118">
        <v>115.3</v>
      </c>
      <c r="I51" s="92"/>
      <c r="J51" s="43">
        <v>117.5</v>
      </c>
      <c r="K51" s="97">
        <v>116</v>
      </c>
      <c r="L51" s="44">
        <v>117.8</v>
      </c>
      <c r="M51" s="43">
        <v>116.9</v>
      </c>
      <c r="N51" s="105">
        <v>118.2</v>
      </c>
      <c r="O51" s="126">
        <v>118.2</v>
      </c>
      <c r="P51" s="101">
        <v>117.8</v>
      </c>
      <c r="Q51" s="44">
        <v>116.6</v>
      </c>
      <c r="R51" s="43"/>
      <c r="S51" s="35">
        <v>216.1</v>
      </c>
      <c r="T51" s="100">
        <v>265.2</v>
      </c>
      <c r="U51" s="137">
        <v>294.39999999999998</v>
      </c>
      <c r="V51" s="97">
        <v>380.9</v>
      </c>
      <c r="W51" s="43">
        <v>188.8</v>
      </c>
      <c r="X51" s="100">
        <v>205.5</v>
      </c>
      <c r="Y51" s="55">
        <v>194</v>
      </c>
      <c r="Z51" s="35">
        <v>367.3</v>
      </c>
      <c r="AA51" s="92">
        <v>362.3</v>
      </c>
    </row>
    <row r="52" spans="1:27" x14ac:dyDescent="0.3">
      <c r="A52" s="124">
        <v>7</v>
      </c>
      <c r="B52" s="133">
        <v>2011</v>
      </c>
      <c r="C52" s="101">
        <v>118.1</v>
      </c>
      <c r="D52" s="43">
        <v>118.4</v>
      </c>
      <c r="E52" s="118">
        <v>117.5</v>
      </c>
      <c r="F52" s="101">
        <v>119.9</v>
      </c>
      <c r="G52" s="125">
        <v>118.2</v>
      </c>
      <c r="H52" s="118">
        <v>116.2</v>
      </c>
      <c r="I52" s="92"/>
      <c r="J52" s="43">
        <v>118.4</v>
      </c>
      <c r="K52" s="97">
        <v>116.9</v>
      </c>
      <c r="L52" s="44">
        <v>118.9</v>
      </c>
      <c r="M52" s="43">
        <v>117.8</v>
      </c>
      <c r="N52" s="105">
        <v>119.9</v>
      </c>
      <c r="O52" s="126">
        <v>119.9</v>
      </c>
      <c r="P52" s="101">
        <v>119</v>
      </c>
      <c r="Q52" s="44">
        <v>117.1</v>
      </c>
      <c r="R52" s="43"/>
      <c r="S52" s="35">
        <v>219</v>
      </c>
      <c r="T52" s="100">
        <v>267.7</v>
      </c>
      <c r="U52" s="137">
        <v>296.2</v>
      </c>
      <c r="V52" s="97">
        <v>378.3</v>
      </c>
      <c r="W52" s="43">
        <v>189.2</v>
      </c>
      <c r="X52" s="100">
        <v>210.1</v>
      </c>
      <c r="Y52" s="55">
        <v>193.9</v>
      </c>
      <c r="Z52" s="35">
        <v>363</v>
      </c>
      <c r="AA52" s="92">
        <v>357.9</v>
      </c>
    </row>
    <row r="53" spans="1:27" x14ac:dyDescent="0.3">
      <c r="A53" s="124">
        <v>8</v>
      </c>
      <c r="B53" s="133">
        <v>2011</v>
      </c>
      <c r="C53" s="101">
        <v>118.4</v>
      </c>
      <c r="D53" s="43">
        <v>118.6</v>
      </c>
      <c r="E53" s="118">
        <v>117.7</v>
      </c>
      <c r="F53" s="101">
        <v>120.3</v>
      </c>
      <c r="G53" s="125">
        <v>118.4</v>
      </c>
      <c r="H53" s="118">
        <v>116.5</v>
      </c>
      <c r="I53" s="92"/>
      <c r="J53" s="43">
        <v>118.7</v>
      </c>
      <c r="K53" s="97">
        <v>117</v>
      </c>
      <c r="L53" s="44">
        <v>119.1</v>
      </c>
      <c r="M53" s="43">
        <v>118.2</v>
      </c>
      <c r="N53" s="105">
        <v>120.2</v>
      </c>
      <c r="O53" s="126">
        <v>120.2</v>
      </c>
      <c r="P53" s="101">
        <v>119.1</v>
      </c>
      <c r="Q53" s="44">
        <v>117.6</v>
      </c>
      <c r="R53" s="43"/>
      <c r="S53" s="35">
        <v>219.7</v>
      </c>
      <c r="T53" s="100">
        <v>268.8</v>
      </c>
      <c r="U53" s="137">
        <v>296.89999999999998</v>
      </c>
      <c r="V53" s="97">
        <v>377.7</v>
      </c>
      <c r="W53" s="43">
        <v>189.3</v>
      </c>
      <c r="X53" s="100">
        <v>214.1</v>
      </c>
      <c r="Y53" s="55">
        <v>194.3</v>
      </c>
      <c r="Z53" s="35">
        <v>368.9</v>
      </c>
      <c r="AA53" s="93">
        <v>363.9</v>
      </c>
    </row>
    <row r="54" spans="1:27" x14ac:dyDescent="0.3">
      <c r="A54" s="124">
        <v>9</v>
      </c>
      <c r="B54" s="133">
        <v>2011</v>
      </c>
      <c r="C54" s="101">
        <v>118.9</v>
      </c>
      <c r="D54" s="43">
        <v>119.1</v>
      </c>
      <c r="E54" s="118">
        <v>118.1</v>
      </c>
      <c r="F54" s="101">
        <v>120.8</v>
      </c>
      <c r="G54" s="125">
        <v>118.7</v>
      </c>
      <c r="H54" s="118">
        <v>116.8</v>
      </c>
      <c r="I54" s="92"/>
      <c r="J54" s="43">
        <v>119.1</v>
      </c>
      <c r="K54" s="97">
        <v>117.1</v>
      </c>
      <c r="L54" s="44">
        <v>119.5</v>
      </c>
      <c r="M54" s="43">
        <v>118.4</v>
      </c>
      <c r="N54" s="105">
        <v>120.8</v>
      </c>
      <c r="O54" s="126">
        <v>120.8</v>
      </c>
      <c r="P54" s="101">
        <v>119.7</v>
      </c>
      <c r="Q54" s="44">
        <v>118</v>
      </c>
      <c r="R54" s="43"/>
      <c r="S54" s="35">
        <v>220.2</v>
      </c>
      <c r="T54" s="100">
        <v>272.60000000000002</v>
      </c>
      <c r="U54" s="137">
        <v>294.89999999999998</v>
      </c>
      <c r="V54" s="97">
        <v>377.7</v>
      </c>
      <c r="W54" s="43">
        <v>189.1</v>
      </c>
      <c r="X54" s="100">
        <v>213.8</v>
      </c>
      <c r="Y54" s="55">
        <v>194.3</v>
      </c>
      <c r="Z54" s="35">
        <v>368.9</v>
      </c>
      <c r="AA54" s="93">
        <v>363.9</v>
      </c>
    </row>
    <row r="55" spans="1:27" x14ac:dyDescent="0.3">
      <c r="A55" s="124">
        <v>10</v>
      </c>
      <c r="B55" s="133">
        <v>2011</v>
      </c>
      <c r="C55" s="101">
        <v>119.4</v>
      </c>
      <c r="D55" s="43">
        <v>119.7</v>
      </c>
      <c r="E55" s="118">
        <v>118.9</v>
      </c>
      <c r="F55" s="101">
        <v>121.7</v>
      </c>
      <c r="G55" s="125">
        <v>119.4</v>
      </c>
      <c r="H55" s="118">
        <v>117.7</v>
      </c>
      <c r="I55" s="92"/>
      <c r="J55" s="43">
        <v>119.7</v>
      </c>
      <c r="K55" s="97">
        <v>117.8</v>
      </c>
      <c r="L55" s="44">
        <v>120.2</v>
      </c>
      <c r="M55" s="43">
        <v>119.3</v>
      </c>
      <c r="N55" s="105">
        <v>121.5</v>
      </c>
      <c r="O55" s="126">
        <v>121.5</v>
      </c>
      <c r="P55" s="101">
        <v>120.4</v>
      </c>
      <c r="Q55" s="44">
        <v>118.8</v>
      </c>
      <c r="R55" s="43"/>
      <c r="S55" s="35">
        <v>221.6</v>
      </c>
      <c r="T55" s="100">
        <v>276.89999999999998</v>
      </c>
      <c r="U55" s="137">
        <v>296.3</v>
      </c>
      <c r="V55" s="97">
        <v>392.4</v>
      </c>
      <c r="W55" s="43">
        <v>187.6</v>
      </c>
      <c r="X55" s="100">
        <v>213.2</v>
      </c>
      <c r="Y55" s="55">
        <v>193.9</v>
      </c>
      <c r="Z55" s="35">
        <v>382.8</v>
      </c>
      <c r="AA55" s="92">
        <v>377.9</v>
      </c>
    </row>
    <row r="56" spans="1:27" x14ac:dyDescent="0.3">
      <c r="A56" s="124">
        <v>11</v>
      </c>
      <c r="B56" s="133">
        <v>2011</v>
      </c>
      <c r="C56" s="101">
        <v>119.5</v>
      </c>
      <c r="D56" s="43">
        <v>120.1</v>
      </c>
      <c r="E56" s="118">
        <v>119.2</v>
      </c>
      <c r="F56" s="101">
        <v>122.1</v>
      </c>
      <c r="G56" s="125">
        <v>119.9</v>
      </c>
      <c r="H56" s="118">
        <v>118.1</v>
      </c>
      <c r="I56" s="92"/>
      <c r="J56" s="43">
        <v>120.1</v>
      </c>
      <c r="K56" s="97">
        <v>117.9</v>
      </c>
      <c r="L56" s="44">
        <v>120.6</v>
      </c>
      <c r="M56" s="43">
        <v>119.4</v>
      </c>
      <c r="N56" s="105">
        <v>121.8</v>
      </c>
      <c r="O56" s="126">
        <v>121.8</v>
      </c>
      <c r="P56" s="101">
        <v>120.5</v>
      </c>
      <c r="Q56" s="44">
        <v>118.9</v>
      </c>
      <c r="R56" s="43"/>
      <c r="S56" s="35">
        <v>223.2</v>
      </c>
      <c r="T56" s="100">
        <v>286.2</v>
      </c>
      <c r="U56" s="137">
        <v>303.7</v>
      </c>
      <c r="V56" s="97">
        <v>413.1</v>
      </c>
      <c r="W56" s="43">
        <v>187.7</v>
      </c>
      <c r="X56" s="100">
        <v>213.4</v>
      </c>
      <c r="Y56" s="55">
        <v>194.3</v>
      </c>
      <c r="Z56" s="35">
        <v>397.1</v>
      </c>
      <c r="AA56" s="92">
        <v>392.3</v>
      </c>
    </row>
    <row r="57" spans="1:27" x14ac:dyDescent="0.3">
      <c r="A57" s="124">
        <v>12</v>
      </c>
      <c r="B57" s="133">
        <v>2011</v>
      </c>
      <c r="C57" s="101">
        <v>119.7</v>
      </c>
      <c r="D57" s="43">
        <v>120.3</v>
      </c>
      <c r="E57" s="118">
        <v>119.4</v>
      </c>
      <c r="F57" s="101">
        <v>122.4</v>
      </c>
      <c r="G57" s="125">
        <v>120.1</v>
      </c>
      <c r="H57" s="118">
        <v>118.4</v>
      </c>
      <c r="I57" s="92"/>
      <c r="J57" s="43">
        <v>120.3</v>
      </c>
      <c r="K57" s="97">
        <v>118</v>
      </c>
      <c r="L57" s="44">
        <v>120.8</v>
      </c>
      <c r="M57" s="43">
        <v>119.7</v>
      </c>
      <c r="N57" s="105">
        <v>122.3</v>
      </c>
      <c r="O57" s="126">
        <v>122.3</v>
      </c>
      <c r="P57" s="101">
        <v>120.9</v>
      </c>
      <c r="Q57" s="44">
        <v>119.2</v>
      </c>
      <c r="R57" s="43"/>
      <c r="S57" s="35">
        <v>223.6</v>
      </c>
      <c r="T57" s="100">
        <v>286.5</v>
      </c>
      <c r="U57" s="137">
        <v>311.10000000000002</v>
      </c>
      <c r="V57" s="97">
        <v>419.9</v>
      </c>
      <c r="W57" s="43">
        <v>188.4</v>
      </c>
      <c r="X57" s="100">
        <v>213.7</v>
      </c>
      <c r="Y57" s="55">
        <v>195.1</v>
      </c>
      <c r="Z57" s="35">
        <v>409.4</v>
      </c>
      <c r="AA57" s="92">
        <v>411.1</v>
      </c>
    </row>
    <row r="58" spans="1:27" x14ac:dyDescent="0.3">
      <c r="A58" s="124">
        <v>1</v>
      </c>
      <c r="B58" s="133">
        <v>2012</v>
      </c>
      <c r="C58" s="101">
        <v>120.2</v>
      </c>
      <c r="D58" s="43">
        <v>120.8</v>
      </c>
      <c r="E58" s="118">
        <v>119.6</v>
      </c>
      <c r="F58" s="101">
        <v>123.3</v>
      </c>
      <c r="G58" s="125">
        <v>120.8</v>
      </c>
      <c r="H58" s="118">
        <v>118.6</v>
      </c>
      <c r="I58" s="92"/>
      <c r="J58" s="43">
        <v>121.2</v>
      </c>
      <c r="K58" s="97">
        <v>118.8</v>
      </c>
      <c r="L58" s="44">
        <v>121.5</v>
      </c>
      <c r="M58" s="80">
        <v>119.5</v>
      </c>
      <c r="N58" s="105">
        <v>123</v>
      </c>
      <c r="O58" s="126">
        <v>123</v>
      </c>
      <c r="P58" s="101">
        <v>121.8</v>
      </c>
      <c r="Q58" s="44">
        <v>119.7</v>
      </c>
      <c r="R58" s="43"/>
      <c r="S58" s="35">
        <v>224.5</v>
      </c>
      <c r="T58" s="100">
        <v>287.7</v>
      </c>
      <c r="U58" s="137">
        <v>312</v>
      </c>
      <c r="V58" s="97">
        <v>409.3</v>
      </c>
      <c r="W58" s="43">
        <v>188.6</v>
      </c>
      <c r="X58" s="100">
        <v>213.7</v>
      </c>
      <c r="Y58" s="55">
        <v>194.9</v>
      </c>
      <c r="Z58" s="35">
        <v>407.4</v>
      </c>
      <c r="AA58" s="92">
        <v>402.7</v>
      </c>
    </row>
    <row r="59" spans="1:27" x14ac:dyDescent="0.3">
      <c r="A59" s="134">
        <v>2</v>
      </c>
      <c r="B59" s="133">
        <v>2012</v>
      </c>
      <c r="C59" s="101">
        <v>120.8</v>
      </c>
      <c r="D59" s="43">
        <v>121.4</v>
      </c>
      <c r="E59" s="118">
        <v>120.6</v>
      </c>
      <c r="F59" s="101">
        <v>124</v>
      </c>
      <c r="G59" s="125">
        <v>121.6</v>
      </c>
      <c r="H59" s="118">
        <v>119.3</v>
      </c>
      <c r="I59" s="92"/>
      <c r="J59" s="43">
        <v>121.8</v>
      </c>
      <c r="K59" s="97">
        <v>119.5</v>
      </c>
      <c r="L59" s="44">
        <v>122.3</v>
      </c>
      <c r="M59" s="43">
        <v>121.2</v>
      </c>
      <c r="N59" s="105">
        <v>123.9</v>
      </c>
      <c r="O59" s="126">
        <v>123.9</v>
      </c>
      <c r="P59" s="101">
        <v>122.5</v>
      </c>
      <c r="Q59" s="44">
        <v>120.5</v>
      </c>
      <c r="R59" s="43"/>
      <c r="S59" s="34">
        <v>226.6</v>
      </c>
      <c r="T59" s="100">
        <v>290.5</v>
      </c>
      <c r="U59" s="137">
        <v>318</v>
      </c>
      <c r="V59" s="96">
        <v>409</v>
      </c>
      <c r="W59" s="37">
        <v>189.4</v>
      </c>
      <c r="X59" s="100">
        <v>214.7</v>
      </c>
      <c r="Y59" s="55">
        <v>195.3</v>
      </c>
      <c r="Z59" s="34">
        <v>407.4</v>
      </c>
      <c r="AA59" s="94">
        <v>402.3</v>
      </c>
    </row>
    <row r="60" spans="1:27" x14ac:dyDescent="0.3">
      <c r="A60" s="134">
        <v>3</v>
      </c>
      <c r="B60" s="133">
        <v>2012</v>
      </c>
      <c r="C60" s="101">
        <v>122.1</v>
      </c>
      <c r="D60" s="43">
        <v>122.8</v>
      </c>
      <c r="E60" s="118">
        <v>122.7</v>
      </c>
      <c r="F60" s="101">
        <v>125</v>
      </c>
      <c r="G60" s="125">
        <v>122.6</v>
      </c>
      <c r="H60" s="118">
        <v>120.7</v>
      </c>
      <c r="I60" s="92"/>
      <c r="J60" s="43">
        <v>123.3</v>
      </c>
      <c r="K60" s="97">
        <v>120.7</v>
      </c>
      <c r="L60" s="44">
        <v>123.3</v>
      </c>
      <c r="M60" s="43">
        <v>122.7</v>
      </c>
      <c r="N60" s="105">
        <v>125.1</v>
      </c>
      <c r="O60" s="126">
        <v>125.1</v>
      </c>
      <c r="P60" s="101">
        <v>123.4</v>
      </c>
      <c r="Q60" s="44">
        <v>121.6</v>
      </c>
      <c r="R60" s="43"/>
      <c r="S60" s="34">
        <v>228.2</v>
      </c>
      <c r="T60" s="100">
        <v>290.5</v>
      </c>
      <c r="U60" s="137">
        <v>317.3</v>
      </c>
      <c r="V60" s="96">
        <v>414.2</v>
      </c>
      <c r="W60" s="37">
        <v>188.2</v>
      </c>
      <c r="X60" s="100">
        <v>214.4</v>
      </c>
      <c r="Y60" s="55">
        <v>194.8</v>
      </c>
      <c r="Z60" s="34">
        <v>411.4</v>
      </c>
      <c r="AA60" s="94">
        <v>406.7</v>
      </c>
    </row>
    <row r="61" spans="1:27" x14ac:dyDescent="0.3">
      <c r="A61" s="134">
        <v>4</v>
      </c>
      <c r="B61" s="133">
        <v>2012</v>
      </c>
      <c r="C61" s="101">
        <v>122.7</v>
      </c>
      <c r="D61" s="43">
        <v>123.3</v>
      </c>
      <c r="E61" s="118">
        <v>123.3</v>
      </c>
      <c r="F61" s="101">
        <v>125.2</v>
      </c>
      <c r="G61" s="125">
        <v>123</v>
      </c>
      <c r="H61" s="118">
        <v>121.3</v>
      </c>
      <c r="I61" s="92"/>
      <c r="J61" s="43">
        <v>123.8</v>
      </c>
      <c r="K61" s="97">
        <v>121.2</v>
      </c>
      <c r="L61" s="44">
        <v>123.8</v>
      </c>
      <c r="M61" s="43">
        <v>123.1</v>
      </c>
      <c r="N61" s="105">
        <v>125.7</v>
      </c>
      <c r="O61" s="126">
        <v>125.7</v>
      </c>
      <c r="P61" s="101">
        <v>124.1</v>
      </c>
      <c r="Q61" s="44">
        <v>122.1</v>
      </c>
      <c r="R61" s="43"/>
      <c r="S61" s="34">
        <v>227.9</v>
      </c>
      <c r="T61" s="100">
        <v>290.39999999999998</v>
      </c>
      <c r="U61" s="137">
        <v>317.10000000000002</v>
      </c>
      <c r="V61" s="96">
        <v>422.2</v>
      </c>
      <c r="W61" s="37">
        <v>188.6</v>
      </c>
      <c r="X61" s="100">
        <v>218</v>
      </c>
      <c r="Y61" s="55">
        <v>198.6</v>
      </c>
      <c r="Z61" s="34">
        <v>431.6</v>
      </c>
      <c r="AA61" s="94">
        <v>425.5</v>
      </c>
    </row>
    <row r="62" spans="1:27" x14ac:dyDescent="0.3">
      <c r="A62" s="134">
        <v>5</v>
      </c>
      <c r="B62" s="133">
        <v>2012</v>
      </c>
      <c r="C62" s="101">
        <v>122.9</v>
      </c>
      <c r="D62" s="43">
        <v>123.5</v>
      </c>
      <c r="E62" s="118">
        <v>123.6</v>
      </c>
      <c r="F62" s="101">
        <v>125.3</v>
      </c>
      <c r="G62" s="125">
        <v>123.3</v>
      </c>
      <c r="H62" s="118">
        <v>121.4</v>
      </c>
      <c r="I62" s="92"/>
      <c r="J62" s="43">
        <v>123.9</v>
      </c>
      <c r="K62" s="97">
        <v>121.2</v>
      </c>
      <c r="L62" s="44">
        <v>124</v>
      </c>
      <c r="M62" s="43">
        <v>123</v>
      </c>
      <c r="N62" s="105">
        <v>125.6</v>
      </c>
      <c r="O62" s="126">
        <v>125.6</v>
      </c>
      <c r="P62" s="101">
        <v>124</v>
      </c>
      <c r="Q62" s="44">
        <v>122.1</v>
      </c>
      <c r="R62" s="43"/>
      <c r="S62" s="34">
        <v>226.9</v>
      </c>
      <c r="T62" s="100">
        <v>288.89999999999998</v>
      </c>
      <c r="U62" s="137">
        <v>323</v>
      </c>
      <c r="V62" s="96">
        <v>426.6</v>
      </c>
      <c r="W62" s="37">
        <v>190.3</v>
      </c>
      <c r="X62" s="100">
        <v>218.8</v>
      </c>
      <c r="Y62" s="55">
        <v>199.4</v>
      </c>
      <c r="Z62" s="34">
        <v>435.6</v>
      </c>
      <c r="AA62" s="94">
        <v>429.5</v>
      </c>
    </row>
    <row r="63" spans="1:27" x14ac:dyDescent="0.3">
      <c r="A63" s="134">
        <v>6</v>
      </c>
      <c r="B63" s="133">
        <v>2012</v>
      </c>
      <c r="C63" s="101">
        <v>123.2</v>
      </c>
      <c r="D63" s="43">
        <v>124</v>
      </c>
      <c r="E63" s="118">
        <v>123.8</v>
      </c>
      <c r="F63" s="101">
        <v>125.2</v>
      </c>
      <c r="G63" s="125">
        <v>124.2</v>
      </c>
      <c r="H63" s="118">
        <v>121.7</v>
      </c>
      <c r="I63" s="92"/>
      <c r="J63" s="43">
        <v>123.7</v>
      </c>
      <c r="K63" s="97">
        <v>121.8</v>
      </c>
      <c r="L63" s="44">
        <v>124.5</v>
      </c>
      <c r="M63" s="43">
        <v>123.8</v>
      </c>
      <c r="N63" s="105">
        <v>125.6</v>
      </c>
      <c r="O63" s="126">
        <v>125.6</v>
      </c>
      <c r="P63" s="101">
        <v>124.2</v>
      </c>
      <c r="Q63" s="44">
        <v>121.9</v>
      </c>
      <c r="R63" s="43"/>
      <c r="S63" s="34">
        <v>226.8</v>
      </c>
      <c r="T63" s="100">
        <v>289.10000000000002</v>
      </c>
      <c r="U63" s="137">
        <v>324</v>
      </c>
      <c r="V63" s="96">
        <v>410.3</v>
      </c>
      <c r="W63" s="37">
        <v>190.8</v>
      </c>
      <c r="X63" s="100">
        <v>219.1</v>
      </c>
      <c r="Y63" s="55">
        <v>199.9</v>
      </c>
      <c r="Z63" s="34">
        <v>425.7</v>
      </c>
      <c r="AA63" s="94">
        <v>421.1</v>
      </c>
    </row>
    <row r="64" spans="1:27" x14ac:dyDescent="0.3">
      <c r="A64" s="134">
        <v>7</v>
      </c>
      <c r="B64" s="133">
        <v>2012</v>
      </c>
      <c r="C64" s="101">
        <v>123.6</v>
      </c>
      <c r="D64" s="43">
        <v>124.7</v>
      </c>
      <c r="E64" s="118">
        <v>124.2</v>
      </c>
      <c r="F64" s="101">
        <v>126.5</v>
      </c>
      <c r="G64" s="125">
        <v>124.6</v>
      </c>
      <c r="H64" s="118">
        <v>121.9</v>
      </c>
      <c r="I64" s="92"/>
      <c r="J64" s="43">
        <v>124.3</v>
      </c>
      <c r="K64" s="97">
        <v>122.2</v>
      </c>
      <c r="L64" s="44">
        <v>124.8</v>
      </c>
      <c r="M64" s="43">
        <v>123.9</v>
      </c>
      <c r="N64" s="105">
        <v>125.9</v>
      </c>
      <c r="O64" s="126">
        <v>125.9</v>
      </c>
      <c r="P64" s="101">
        <v>124.8</v>
      </c>
      <c r="Q64" s="44">
        <v>122.5</v>
      </c>
      <c r="R64" s="43"/>
      <c r="S64" s="34">
        <v>227.1</v>
      </c>
      <c r="T64" s="100">
        <v>289.89999999999998</v>
      </c>
      <c r="U64" s="137">
        <v>325.3</v>
      </c>
      <c r="V64" s="96">
        <v>378.6</v>
      </c>
      <c r="W64" s="37">
        <v>191</v>
      </c>
      <c r="X64" s="100">
        <v>220.2</v>
      </c>
      <c r="Y64" s="55">
        <v>200</v>
      </c>
      <c r="Z64" s="34">
        <v>401.1</v>
      </c>
      <c r="AA64" s="94">
        <v>394.3</v>
      </c>
    </row>
    <row r="65" spans="1:27" x14ac:dyDescent="0.3">
      <c r="A65" s="134">
        <v>8</v>
      </c>
      <c r="B65" s="133">
        <v>2012</v>
      </c>
      <c r="C65" s="101">
        <v>123.8</v>
      </c>
      <c r="D65" s="43">
        <v>124.9</v>
      </c>
      <c r="E65" s="118">
        <v>124.4</v>
      </c>
      <c r="F65" s="101">
        <v>126.8</v>
      </c>
      <c r="G65" s="125">
        <v>124.7</v>
      </c>
      <c r="H65" s="118">
        <v>122.1</v>
      </c>
      <c r="I65" s="92"/>
      <c r="J65" s="43">
        <v>124.5</v>
      </c>
      <c r="K65" s="97">
        <v>122.4</v>
      </c>
      <c r="L65" s="44">
        <v>125.3</v>
      </c>
      <c r="M65" s="43">
        <v>124.5</v>
      </c>
      <c r="N65" s="105">
        <v>126.3</v>
      </c>
      <c r="O65" s="126">
        <v>126.3</v>
      </c>
      <c r="P65" s="101">
        <v>124.9</v>
      </c>
      <c r="Q65" s="44">
        <v>122.8</v>
      </c>
      <c r="R65" s="43"/>
      <c r="S65" s="34">
        <v>227.9</v>
      </c>
      <c r="T65" s="100">
        <v>290</v>
      </c>
      <c r="U65" s="137">
        <v>324.2</v>
      </c>
      <c r="V65" s="96">
        <v>388</v>
      </c>
      <c r="W65" s="37">
        <v>191.5</v>
      </c>
      <c r="X65" s="100">
        <v>219.1</v>
      </c>
      <c r="Y65" s="55">
        <v>200.5</v>
      </c>
      <c r="Z65" s="34">
        <v>406.6</v>
      </c>
      <c r="AA65" s="94">
        <v>399.9</v>
      </c>
    </row>
    <row r="66" spans="1:27" x14ac:dyDescent="0.3">
      <c r="A66" s="134">
        <v>9</v>
      </c>
      <c r="B66" s="133">
        <v>2012</v>
      </c>
      <c r="C66" s="101">
        <v>124.9</v>
      </c>
      <c r="D66" s="43">
        <v>125.7</v>
      </c>
      <c r="E66" s="118">
        <v>125.4</v>
      </c>
      <c r="F66" s="101">
        <v>128</v>
      </c>
      <c r="G66" s="125">
        <v>125.9</v>
      </c>
      <c r="H66" s="118">
        <v>123.3</v>
      </c>
      <c r="I66" s="92"/>
      <c r="J66" s="43">
        <v>125.5</v>
      </c>
      <c r="K66" s="97">
        <v>123.3</v>
      </c>
      <c r="L66" s="44">
        <v>126.3</v>
      </c>
      <c r="M66" s="43">
        <v>126.2</v>
      </c>
      <c r="N66" s="105">
        <v>127.3</v>
      </c>
      <c r="O66" s="126">
        <v>127.3</v>
      </c>
      <c r="P66" s="101">
        <v>126</v>
      </c>
      <c r="Q66" s="44">
        <v>124.1</v>
      </c>
      <c r="R66" s="43"/>
      <c r="S66" s="34">
        <v>227.5</v>
      </c>
      <c r="T66" s="100">
        <v>289.8</v>
      </c>
      <c r="U66" s="137">
        <v>323.5</v>
      </c>
      <c r="V66" s="96">
        <v>412.7</v>
      </c>
      <c r="W66" s="37">
        <v>192.5</v>
      </c>
      <c r="X66" s="100">
        <v>223.2</v>
      </c>
      <c r="Y66" s="55">
        <v>200.6</v>
      </c>
      <c r="Z66" s="34">
        <v>434</v>
      </c>
      <c r="AA66" s="94">
        <v>427.5</v>
      </c>
    </row>
    <row r="67" spans="1:27" x14ac:dyDescent="0.3">
      <c r="A67" s="134">
        <v>10</v>
      </c>
      <c r="B67" s="133">
        <v>2012</v>
      </c>
      <c r="C67" s="101">
        <v>125.5</v>
      </c>
      <c r="D67" s="43">
        <v>126.5</v>
      </c>
      <c r="E67" s="118">
        <v>126.1</v>
      </c>
      <c r="F67" s="101">
        <v>128.6</v>
      </c>
      <c r="G67" s="125">
        <v>126.7</v>
      </c>
      <c r="H67" s="118">
        <v>124.1</v>
      </c>
      <c r="I67" s="92"/>
      <c r="J67" s="43">
        <v>126.3</v>
      </c>
      <c r="K67" s="97">
        <v>124</v>
      </c>
      <c r="L67" s="44">
        <v>127.3</v>
      </c>
      <c r="M67" s="43">
        <v>127.1</v>
      </c>
      <c r="N67" s="105">
        <v>128.19999999999999</v>
      </c>
      <c r="O67" s="126">
        <v>128.19999999999999</v>
      </c>
      <c r="P67" s="101">
        <v>126.5</v>
      </c>
      <c r="Q67" s="44">
        <v>124.9</v>
      </c>
      <c r="R67" s="43"/>
      <c r="S67" s="34">
        <v>226.8</v>
      </c>
      <c r="T67" s="100">
        <v>285.89999999999998</v>
      </c>
      <c r="U67" s="137">
        <v>324</v>
      </c>
      <c r="V67" s="96">
        <v>433</v>
      </c>
      <c r="W67" s="37">
        <v>192.5</v>
      </c>
      <c r="X67" s="100">
        <v>224.1</v>
      </c>
      <c r="Y67" s="55">
        <v>201.4</v>
      </c>
      <c r="Z67" s="34">
        <v>436.4</v>
      </c>
      <c r="AA67" s="94">
        <v>443.5</v>
      </c>
    </row>
    <row r="68" spans="1:27" x14ac:dyDescent="0.3">
      <c r="A68" s="134">
        <v>11</v>
      </c>
      <c r="B68" s="133">
        <v>2012</v>
      </c>
      <c r="C68" s="101">
        <v>125.8</v>
      </c>
      <c r="D68" s="43">
        <v>126.9</v>
      </c>
      <c r="E68" s="118">
        <v>126.4</v>
      </c>
      <c r="F68" s="101">
        <v>129</v>
      </c>
      <c r="G68" s="125">
        <v>126.9</v>
      </c>
      <c r="H68" s="118">
        <v>124.4</v>
      </c>
      <c r="I68" s="92"/>
      <c r="J68" s="43">
        <v>126.6</v>
      </c>
      <c r="K68" s="97">
        <v>124.3</v>
      </c>
      <c r="L68" s="44">
        <v>127.5</v>
      </c>
      <c r="M68" s="43">
        <v>127.3</v>
      </c>
      <c r="N68" s="105">
        <v>128.6</v>
      </c>
      <c r="O68" s="126">
        <v>128.6</v>
      </c>
      <c r="P68" s="101">
        <v>126.8</v>
      </c>
      <c r="Q68" s="44">
        <v>125.1</v>
      </c>
      <c r="R68" s="43"/>
      <c r="S68" s="34">
        <v>227.5</v>
      </c>
      <c r="T68" s="100">
        <v>285.89999999999998</v>
      </c>
      <c r="U68" s="137">
        <v>326.39999999999998</v>
      </c>
      <c r="V68" s="96">
        <v>439.3</v>
      </c>
      <c r="W68" s="37">
        <v>193.2</v>
      </c>
      <c r="X68" s="100">
        <v>225.1</v>
      </c>
      <c r="Y68" s="55">
        <v>202.1</v>
      </c>
      <c r="Z68" s="34">
        <v>446.3</v>
      </c>
      <c r="AA68" s="94">
        <v>447.5</v>
      </c>
    </row>
    <row r="69" spans="1:27" ht="15" thickBot="1" x14ac:dyDescent="0.35">
      <c r="A69" s="134">
        <v>12</v>
      </c>
      <c r="B69" s="133">
        <v>2012</v>
      </c>
      <c r="C69" s="173">
        <v>126.3</v>
      </c>
      <c r="D69" s="43">
        <v>127.2</v>
      </c>
      <c r="E69" s="174">
        <v>126.9</v>
      </c>
      <c r="F69" s="173">
        <v>129</v>
      </c>
      <c r="G69" s="382">
        <v>127.3</v>
      </c>
      <c r="H69" s="174">
        <v>124.9</v>
      </c>
      <c r="I69" s="383"/>
      <c r="J69" s="72">
        <v>126.8</v>
      </c>
      <c r="K69" s="175">
        <v>124.4</v>
      </c>
      <c r="L69" s="74">
        <v>127.8</v>
      </c>
      <c r="M69" s="173">
        <v>127.4</v>
      </c>
      <c r="N69" s="176">
        <v>128.9</v>
      </c>
      <c r="O69" s="177">
        <v>128.9</v>
      </c>
      <c r="P69" s="173">
        <v>127</v>
      </c>
      <c r="Q69" s="44">
        <v>125.4</v>
      </c>
      <c r="R69" s="43"/>
      <c r="S69" s="34">
        <v>228.2</v>
      </c>
      <c r="T69" s="102">
        <v>289</v>
      </c>
      <c r="U69" s="137">
        <v>329.3</v>
      </c>
      <c r="V69" s="103">
        <v>435.9</v>
      </c>
      <c r="W69" s="37">
        <v>193.7</v>
      </c>
      <c r="X69" s="102">
        <v>225.3</v>
      </c>
      <c r="Y69" s="55">
        <v>202.6</v>
      </c>
      <c r="Z69" s="34">
        <v>444.4</v>
      </c>
      <c r="AA69" s="104">
        <v>445.5</v>
      </c>
    </row>
    <row r="70" spans="1:27" ht="15" thickBot="1" x14ac:dyDescent="0.35">
      <c r="A70" s="141" t="s">
        <v>43</v>
      </c>
      <c r="B70" s="142"/>
      <c r="C70" s="56"/>
      <c r="D70" s="57"/>
      <c r="E70" s="57"/>
      <c r="F70" s="107"/>
      <c r="G70" s="57"/>
      <c r="H70" s="57"/>
      <c r="I70" s="107"/>
      <c r="J70" s="107"/>
      <c r="K70" s="107"/>
      <c r="L70" s="107"/>
      <c r="M70" s="107"/>
      <c r="N70" s="57"/>
      <c r="O70" s="57"/>
      <c r="P70" s="57"/>
      <c r="Q70" s="58"/>
      <c r="R70" s="43"/>
      <c r="S70" s="143" t="s">
        <v>42</v>
      </c>
      <c r="T70" s="144"/>
      <c r="U70" s="144"/>
      <c r="V70" s="138"/>
      <c r="W70" s="138"/>
      <c r="X70" s="138"/>
      <c r="Y70" s="138"/>
      <c r="Z70" s="138"/>
      <c r="AA70" s="145"/>
    </row>
    <row r="71" spans="1:27" ht="15" thickBot="1" x14ac:dyDescent="0.35">
      <c r="A71" s="146"/>
      <c r="B71" s="147"/>
      <c r="C71" s="148"/>
      <c r="D71" s="149" t="s">
        <v>54</v>
      </c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4"/>
      <c r="R71" s="43"/>
      <c r="S71" s="150"/>
      <c r="T71" s="151" t="s">
        <v>60</v>
      </c>
      <c r="U71" s="67"/>
      <c r="V71" s="67"/>
      <c r="W71" s="67"/>
      <c r="X71" s="67"/>
      <c r="Y71" s="68"/>
      <c r="Z71" s="152" t="s">
        <v>41</v>
      </c>
      <c r="AA71" s="153"/>
    </row>
    <row r="72" spans="1:27" ht="15" thickBot="1" x14ac:dyDescent="0.35">
      <c r="A72" s="146"/>
      <c r="B72" s="147"/>
      <c r="C72" s="148"/>
      <c r="D72" s="149" t="s">
        <v>53</v>
      </c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4"/>
      <c r="R72" s="43"/>
      <c r="S72" s="148"/>
      <c r="T72" s="149" t="s">
        <v>52</v>
      </c>
      <c r="U72" s="43"/>
      <c r="V72" s="43"/>
      <c r="W72" s="43"/>
      <c r="X72" s="43"/>
      <c r="Y72" s="44"/>
      <c r="Z72" s="35"/>
      <c r="AA72" s="154"/>
    </row>
    <row r="73" spans="1:27" ht="15" thickBot="1" x14ac:dyDescent="0.35">
      <c r="A73" s="155" t="s">
        <v>56</v>
      </c>
      <c r="B73" s="156"/>
      <c r="C73" s="73"/>
      <c r="D73" s="157" t="s">
        <v>59</v>
      </c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4"/>
      <c r="R73" s="43"/>
      <c r="S73" s="158"/>
      <c r="T73" s="159" t="s">
        <v>57</v>
      </c>
      <c r="U73" s="159"/>
      <c r="V73" s="139"/>
      <c r="W73" s="139"/>
      <c r="X73" s="139"/>
      <c r="Y73" s="140"/>
      <c r="Z73" s="124"/>
      <c r="AA73" s="154"/>
    </row>
    <row r="74" spans="1:27" ht="15" thickBot="1" x14ac:dyDescent="0.35">
      <c r="A74" s="160" t="s">
        <v>44</v>
      </c>
      <c r="B74" s="161"/>
      <c r="C74" s="83">
        <v>0.79176563740000006</v>
      </c>
      <c r="D74" s="166">
        <v>0.78616352199999995</v>
      </c>
      <c r="E74" s="82">
        <v>0.78802206460000002</v>
      </c>
      <c r="F74" s="83">
        <v>0.77519379840000002</v>
      </c>
      <c r="G74" s="166">
        <v>0.78554595439999997</v>
      </c>
      <c r="H74" s="84">
        <v>0.8006405124</v>
      </c>
      <c r="I74" s="168"/>
      <c r="J74" s="81">
        <v>0.78864353310000002</v>
      </c>
      <c r="K74" s="167">
        <v>0.80385852089999998</v>
      </c>
      <c r="L74" s="84">
        <v>0.78247261349999997</v>
      </c>
      <c r="M74" s="83">
        <v>0.78492935639999994</v>
      </c>
      <c r="N74" s="84">
        <v>0.77579519009999998</v>
      </c>
      <c r="O74" s="168">
        <v>0.77579519009999998</v>
      </c>
      <c r="P74" s="83">
        <v>0.78740157479999995</v>
      </c>
      <c r="Q74" s="82">
        <v>0.79744816590000001</v>
      </c>
      <c r="R74" s="377"/>
      <c r="S74" s="85">
        <v>2.2719999999999998</v>
      </c>
      <c r="T74" s="116">
        <v>2.89</v>
      </c>
      <c r="U74" s="384">
        <v>3.22</v>
      </c>
      <c r="V74" s="86">
        <v>4.149</v>
      </c>
      <c r="W74" s="88">
        <v>1.909</v>
      </c>
      <c r="X74" s="86">
        <v>2.1960000000000002</v>
      </c>
      <c r="Y74" s="87">
        <v>1.992</v>
      </c>
      <c r="Z74" s="117">
        <v>4.24</v>
      </c>
      <c r="AA74" s="89">
        <v>4.2050000000000001</v>
      </c>
    </row>
    <row r="75" spans="1:27" ht="15" thickBot="1" x14ac:dyDescent="0.35">
      <c r="A75" s="162" t="s">
        <v>45</v>
      </c>
      <c r="B75" s="163"/>
      <c r="C75" s="77"/>
      <c r="D75" s="119"/>
      <c r="E75" s="76"/>
      <c r="F75" s="77"/>
      <c r="G75" s="119"/>
      <c r="H75" s="193"/>
      <c r="I75" s="121"/>
      <c r="J75" s="75"/>
      <c r="K75" s="120"/>
      <c r="L75" s="193"/>
      <c r="M75" s="77"/>
      <c r="N75" s="193"/>
      <c r="O75" s="121"/>
      <c r="P75" s="77"/>
      <c r="Q75" s="76"/>
      <c r="R75" s="372"/>
      <c r="S75" s="69"/>
      <c r="T75" s="78"/>
      <c r="U75" s="70"/>
      <c r="V75" s="78"/>
      <c r="W75" s="70"/>
      <c r="X75" s="78"/>
      <c r="Y75" s="71"/>
      <c r="Z75" s="69"/>
      <c r="AA75" s="79"/>
    </row>
    <row r="76" spans="1:27" x14ac:dyDescent="0.3">
      <c r="A76" s="146"/>
      <c r="B76" s="147"/>
      <c r="C76" s="109"/>
      <c r="D76" s="110"/>
      <c r="E76" s="114"/>
      <c r="F76" s="111"/>
      <c r="G76" s="110"/>
      <c r="H76" s="123"/>
      <c r="I76" s="114"/>
      <c r="J76" s="110"/>
      <c r="K76" s="115"/>
      <c r="L76" s="67"/>
      <c r="M76" s="111"/>
      <c r="N76" s="67"/>
      <c r="O76" s="114"/>
      <c r="P76" s="111"/>
      <c r="Q76" s="44"/>
      <c r="R76" s="43"/>
      <c r="S76" s="65" t="s">
        <v>50</v>
      </c>
      <c r="T76" s="178" t="s">
        <v>51</v>
      </c>
      <c r="U76" s="63" t="s">
        <v>51</v>
      </c>
      <c r="V76" s="178" t="s">
        <v>51</v>
      </c>
      <c r="W76" s="63" t="s">
        <v>51</v>
      </c>
      <c r="X76" s="178" t="s">
        <v>51</v>
      </c>
      <c r="Y76" s="64" t="s">
        <v>51</v>
      </c>
      <c r="Z76" s="66" t="s">
        <v>51</v>
      </c>
      <c r="AA76" s="179" t="s">
        <v>51</v>
      </c>
    </row>
    <row r="77" spans="1:27" x14ac:dyDescent="0.3">
      <c r="A77" s="134">
        <v>1</v>
      </c>
      <c r="B77" s="133">
        <v>2013</v>
      </c>
      <c r="C77" s="101">
        <f>100.2/C120</f>
        <v>126.55259999541879</v>
      </c>
      <c r="D77" s="35">
        <f>100.1/D120</f>
        <v>127.32720000203723</v>
      </c>
      <c r="E77" s="92">
        <f>100.2/E120</f>
        <v>127.15380000287368</v>
      </c>
      <c r="F77" s="101">
        <f>100.5/F120</f>
        <v>129.64500000829727</v>
      </c>
      <c r="G77" s="35">
        <f>100.5/G120</f>
        <v>127.93650000624331</v>
      </c>
      <c r="H77" s="118">
        <f>100.1/H120</f>
        <v>125.02490000155031</v>
      </c>
      <c r="I77" s="92"/>
      <c r="J77" s="35">
        <f>100.3/J120</f>
        <v>127.18040000371366</v>
      </c>
      <c r="K77" s="97">
        <f t="shared" ref="K77:P77" si="0">100.4/K120</f>
        <v>124.89760000004996</v>
      </c>
      <c r="L77" s="43">
        <f t="shared" si="0"/>
        <v>128.31119999319952</v>
      </c>
      <c r="M77" s="101">
        <f t="shared" si="0"/>
        <v>127.90959999314406</v>
      </c>
      <c r="N77" s="43">
        <f t="shared" si="0"/>
        <v>129.41559999496573</v>
      </c>
      <c r="O77" s="92">
        <f t="shared" si="0"/>
        <v>129.41559999496573</v>
      </c>
      <c r="P77" s="101">
        <f t="shared" si="0"/>
        <v>127.50800000051005</v>
      </c>
      <c r="Q77" s="44">
        <f>100.5/Q120</f>
        <v>126.02699999513536</v>
      </c>
      <c r="R77" s="43"/>
      <c r="S77" s="34">
        <f>+S120*101.8</f>
        <v>231.28959999999998</v>
      </c>
      <c r="T77" s="164">
        <f>+T120*103.2</f>
        <v>298.24800000000005</v>
      </c>
      <c r="U77" s="137">
        <f>+U120*104.4</f>
        <v>336.16800000000006</v>
      </c>
      <c r="V77" s="112">
        <f>+V120*103</f>
        <v>427.34699999999998</v>
      </c>
      <c r="W77" s="37">
        <f>+W120*102.3</f>
        <v>195.29069999999999</v>
      </c>
      <c r="X77" s="164">
        <f>+X120*103.1</f>
        <v>226.4076</v>
      </c>
      <c r="Y77" s="137">
        <f>+Y120*102.4</f>
        <v>203.98080000000002</v>
      </c>
      <c r="Z77" s="34">
        <f>+Z120*102.2</f>
        <v>433.32800000000003</v>
      </c>
      <c r="AA77" s="113">
        <f>+AA120*103.4</f>
        <v>434.79700000000003</v>
      </c>
    </row>
    <row r="78" spans="1:27" x14ac:dyDescent="0.3">
      <c r="A78" s="134">
        <v>2</v>
      </c>
      <c r="B78" s="133">
        <v>2013</v>
      </c>
      <c r="C78" s="101">
        <f>100.8/C120</f>
        <v>127.31039999539135</v>
      </c>
      <c r="D78" s="35">
        <f>101.2/D120</f>
        <v>128.72640000205965</v>
      </c>
      <c r="E78" s="92">
        <f>101.3/E120</f>
        <v>128.54970000290521</v>
      </c>
      <c r="F78" s="101">
        <f>100.9/F120</f>
        <v>130.16100000833032</v>
      </c>
      <c r="G78" s="35">
        <f>102/G120</f>
        <v>129.84600000633648</v>
      </c>
      <c r="H78" s="118">
        <f>101.2/H120</f>
        <v>126.39880000156735</v>
      </c>
      <c r="I78" s="92"/>
      <c r="J78" s="35">
        <f>101.7/J120</f>
        <v>128.95560000376551</v>
      </c>
      <c r="K78" s="97">
        <f>101.8/K120</f>
        <v>126.63920000005065</v>
      </c>
      <c r="L78" s="43">
        <f>101.5/L120</f>
        <v>129.716999993125</v>
      </c>
      <c r="M78" s="101">
        <f>101.2/M120</f>
        <v>128.92879999308943</v>
      </c>
      <c r="N78" s="43">
        <f>101.2/N120</f>
        <v>130.44679999492564</v>
      </c>
      <c r="O78" s="92">
        <f>101.2/O120</f>
        <v>130.44679999492564</v>
      </c>
      <c r="P78" s="101">
        <f>101.4/P120</f>
        <v>128.77800000051514</v>
      </c>
      <c r="Q78" s="44">
        <f>101.3/Q120</f>
        <v>127.03019999509662</v>
      </c>
      <c r="R78" s="43"/>
      <c r="S78" s="34">
        <f>+S120*102.2</f>
        <v>232.19839999999999</v>
      </c>
      <c r="T78" s="100">
        <f>+T120*104.8</f>
        <v>302.87200000000001</v>
      </c>
      <c r="U78" s="137">
        <f>+U120*105.1</f>
        <v>338.42200000000003</v>
      </c>
      <c r="V78" s="96">
        <f>+V120*104.3</f>
        <v>432.7407</v>
      </c>
      <c r="W78" s="37">
        <f>+W120*102.5</f>
        <v>195.67250000000001</v>
      </c>
      <c r="X78" s="100">
        <f>+X120*103.1</f>
        <v>226.4076</v>
      </c>
      <c r="Y78" s="137">
        <f>+Y120*102.4</f>
        <v>203.98080000000002</v>
      </c>
      <c r="Z78" s="34">
        <f>+Z120*103.9</f>
        <v>440.53600000000006</v>
      </c>
      <c r="AA78" s="94">
        <f>+AA120*105</f>
        <v>441.52500000000003</v>
      </c>
    </row>
    <row r="79" spans="1:27" x14ac:dyDescent="0.3">
      <c r="A79" s="134">
        <v>3</v>
      </c>
      <c r="B79" s="133">
        <v>2013</v>
      </c>
      <c r="C79" s="101">
        <f>102.2/C120</f>
        <v>129.07859999532735</v>
      </c>
      <c r="D79" s="35">
        <f>102/D120</f>
        <v>129.74400000207592</v>
      </c>
      <c r="E79" s="92">
        <f>102.4/E120</f>
        <v>129.94560000293677</v>
      </c>
      <c r="F79" s="101">
        <f>101.8/F120</f>
        <v>131.32200000840459</v>
      </c>
      <c r="G79" s="35">
        <f>102.9/G120</f>
        <v>130.99170000639242</v>
      </c>
      <c r="H79" s="118">
        <f>102.8/H120</f>
        <v>128.39720000159213</v>
      </c>
      <c r="I79" s="92"/>
      <c r="J79" s="35">
        <f>103.2/J120</f>
        <v>130.85760000382103</v>
      </c>
      <c r="K79" s="97">
        <f>103/K120</f>
        <v>128.13200000005125</v>
      </c>
      <c r="L79" s="43">
        <f>102.6/L120</f>
        <v>131.12279999305048</v>
      </c>
      <c r="M79" s="101">
        <f>101.9/M120</f>
        <v>129.82059999304164</v>
      </c>
      <c r="N79" s="43">
        <f>102.4/N120</f>
        <v>131.99359999486546</v>
      </c>
      <c r="O79" s="92">
        <f>102.4/O120</f>
        <v>131.99359999486546</v>
      </c>
      <c r="P79" s="101">
        <f>102.1/P120</f>
        <v>129.66700000051867</v>
      </c>
      <c r="Q79" s="44">
        <f>102.8/Q120</f>
        <v>128.91119999502402</v>
      </c>
      <c r="R79" s="43"/>
      <c r="S79" s="34">
        <f>+S120*103.1</f>
        <v>234.24319999999997</v>
      </c>
      <c r="T79" s="100">
        <f>+T120*104.5</f>
        <v>302.005</v>
      </c>
      <c r="U79" s="137">
        <f>+U120*104.9</f>
        <v>337.77800000000002</v>
      </c>
      <c r="V79" s="96">
        <f>+V120*108.6</f>
        <v>450.58139999999997</v>
      </c>
      <c r="W79" s="37">
        <f>+W120*103.6</f>
        <v>197.7724</v>
      </c>
      <c r="X79" s="100">
        <f>+X120*103.5</f>
        <v>227.28600000000003</v>
      </c>
      <c r="Y79" s="137">
        <f>+Y120*103.6</f>
        <v>206.37119999999999</v>
      </c>
      <c r="Z79" s="34">
        <f>+Z120*109.3</f>
        <v>463.43200000000002</v>
      </c>
      <c r="AA79" s="94">
        <f>+AA120*110.6</f>
        <v>465.07299999999998</v>
      </c>
    </row>
    <row r="80" spans="1:27" x14ac:dyDescent="0.3">
      <c r="A80" s="134">
        <v>4</v>
      </c>
      <c r="B80" s="133">
        <v>2013</v>
      </c>
      <c r="C80" s="101">
        <f>'Discontinued - OLDTABLE A'!D77/'Discontinued - TABLE B'!C120</f>
        <v>129.45749999531364</v>
      </c>
      <c r="D80" s="35">
        <f>'Discontinued - OLDTABLE A'!E77/'Discontinued - TABLE B'!D120</f>
        <v>129.99840000207999</v>
      </c>
      <c r="E80" s="92">
        <f>'Discontinued - OLDTABLE A'!F77/'Discontinued - TABLE B'!E120</f>
        <v>130.45320000294822</v>
      </c>
      <c r="F80" s="101">
        <f>'Discontinued - OLDTABLE A'!G77/'Discontinued - TABLE B'!F120</f>
        <v>131.70900000842937</v>
      </c>
      <c r="G80" s="35">
        <f>'Discontinued - OLDTABLE A'!J77/'Discontinued - TABLE B'!G120</f>
        <v>131.11900000639861</v>
      </c>
      <c r="H80" s="118">
        <f>'Discontinued - OLDTABLE A'!I77/'Discontinued - TABLE B'!H120</f>
        <v>128.52210000159369</v>
      </c>
      <c r="I80" s="92"/>
      <c r="J80" s="35">
        <f>'Discontinued - OLDTABLE A'!M77/'Discontinued - TABLE B'!J120</f>
        <v>131.36480000383585</v>
      </c>
      <c r="K80" s="97">
        <f>'Discontinued - OLDTABLE A'!N77/'Discontinued - TABLE B'!K120</f>
        <v>128.50520000005139</v>
      </c>
      <c r="L80" s="43">
        <f>'Discontinued - OLDTABLE A'!O77/'Discontinued - TABLE B'!L120</f>
        <v>131.50619999303018</v>
      </c>
      <c r="M80" s="101">
        <f>'Discontinued - OLDTABLE A'!L77/'Discontinued - TABLE B'!M120</f>
        <v>130.71239999299382</v>
      </c>
      <c r="N80" s="43">
        <f>'Discontinued - OLDTABLE A'!H77/'Discontinued - TABLE B'!N120</f>
        <v>132.38029999485042</v>
      </c>
      <c r="O80" s="92">
        <f>'Discontinued - OLDTABLE A'!H77/'Discontinued - TABLE B'!O120</f>
        <v>132.38029999485042</v>
      </c>
      <c r="P80" s="101">
        <f>'Discontinued - OLDTABLE A'!P77/'Discontinued - TABLE B'!P120</f>
        <v>129.92100000051968</v>
      </c>
      <c r="Q80" s="44">
        <f>'Discontinued - OLDTABLE A'!Q77/'Discontinued - TABLE B'!Q120</f>
        <v>129.16199999501436</v>
      </c>
      <c r="R80" s="43"/>
      <c r="S80" s="34">
        <f>S120*'Discontinued - OLDTABLE A'!S77</f>
        <v>236.0608</v>
      </c>
      <c r="T80" s="100">
        <f>T120*'Discontinued - OLDTABLE A'!T77</f>
        <v>307.20699999999999</v>
      </c>
      <c r="U80" s="137">
        <f>U120*'Discontinued - OLDTABLE A'!U77</f>
        <v>340.03199999999998</v>
      </c>
      <c r="V80" s="96">
        <f>V120*'Discontinued - OLDTABLE A'!V77</f>
        <v>434.40030000000002</v>
      </c>
      <c r="W80" s="37">
        <f>W120*'Discontinued - OLDTABLE A'!W77</f>
        <v>197.9633</v>
      </c>
      <c r="X80" s="100">
        <f>X120*'Discontinued - OLDTABLE A'!X77</f>
        <v>227.50560000000002</v>
      </c>
      <c r="Y80" s="137">
        <f>Y120*'Discontinued - OLDTABLE A'!Y77</f>
        <v>206.37119999999999</v>
      </c>
      <c r="Z80" s="34">
        <f>Z120*'Discontinued - OLDTABLE A'!Z77</f>
        <v>442.23200000000003</v>
      </c>
      <c r="AA80" s="94">
        <f>AA120*'Discontinued - OLDTABLE A'!AA77</f>
        <v>442.78649999999999</v>
      </c>
    </row>
    <row r="81" spans="1:27" x14ac:dyDescent="0.3">
      <c r="A81" s="134">
        <v>5</v>
      </c>
      <c r="B81" s="133">
        <v>2013</v>
      </c>
      <c r="C81" s="101">
        <f>'Discontinued - OLDTABLE A'!D78/'Discontinued - TABLE B'!C120</f>
        <v>129.07859999532735</v>
      </c>
      <c r="D81" s="35">
        <f>'Discontinued - OLDTABLE A'!E78/'Discontinued - TABLE B'!D120</f>
        <v>129.87120000207793</v>
      </c>
      <c r="E81" s="92">
        <f>'Discontinued - OLDTABLE A'!F78/'Discontinued - TABLE B'!E120</f>
        <v>130.07250000293965</v>
      </c>
      <c r="F81" s="101">
        <f>'Discontinued - OLDTABLE A'!G78/'Discontinued - TABLE B'!F120</f>
        <v>131.32200000840459</v>
      </c>
      <c r="G81" s="35">
        <f>'Discontinued - OLDTABLE A'!J78/'Discontinued - TABLE B'!G120</f>
        <v>130.48250000636756</v>
      </c>
      <c r="H81" s="118">
        <f>'Discontinued - OLDTABLE A'!I78/'Discontinued - TABLE B'!H120</f>
        <v>128.02250000158747</v>
      </c>
      <c r="I81" s="92"/>
      <c r="J81" s="35">
        <f>'Discontinued - OLDTABLE A'!M78/'Discontinued - TABLE B'!J120</f>
        <v>130.98440000382473</v>
      </c>
      <c r="K81" s="97">
        <f>'Discontinued - OLDTABLE A'!N78/'Discontinued - TABLE B'!K120</f>
        <v>128.00760000005121</v>
      </c>
      <c r="L81" s="43">
        <f>'Discontinued - OLDTABLE A'!O78/'Discontinued - TABLE B'!L120</f>
        <v>130.99499999305726</v>
      </c>
      <c r="M81" s="101">
        <f>'Discontinued - OLDTABLE A'!L78/'Discontinued - TABLE B'!M120</f>
        <v>130.58499999300065</v>
      </c>
      <c r="N81" s="43">
        <f>'Discontinued - OLDTABLE A'!H78/'Discontinued - TABLE B'!N120</f>
        <v>132.2513999948554</v>
      </c>
      <c r="O81" s="92">
        <f>'Discontinued - OLDTABLE A'!H78/'Discontinued - TABLE B'!O120</f>
        <v>132.2513999948554</v>
      </c>
      <c r="P81" s="101">
        <f>'Discontinued - OLDTABLE A'!P78/'Discontinued - TABLE B'!P120</f>
        <v>129.66700000051867</v>
      </c>
      <c r="Q81" s="44">
        <f>'Discontinued - OLDTABLE A'!Q78/'Discontinued - TABLE B'!Q120</f>
        <v>129.16199999501436</v>
      </c>
      <c r="R81" s="43"/>
      <c r="S81" s="34">
        <f>S120*'Discontinued - OLDTABLE A'!S78</f>
        <v>236.74239999999998</v>
      </c>
      <c r="T81" s="100">
        <f>T120*'Discontinued - OLDTABLE A'!T78</f>
        <v>309.80800000000005</v>
      </c>
      <c r="U81" s="137">
        <f>U120*'Discontinued - OLDTABLE A'!U78</f>
        <v>344.86200000000002</v>
      </c>
      <c r="V81" s="96">
        <f>V120*'Discontinued - OLDTABLE A'!V78</f>
        <v>421.12349999999998</v>
      </c>
      <c r="W81" s="37">
        <f>W120*'Discontinued - OLDTABLE A'!W78</f>
        <v>199.4905</v>
      </c>
      <c r="X81" s="100">
        <f>X120*'Discontinued - OLDTABLE A'!X78</f>
        <v>228.82320000000001</v>
      </c>
      <c r="Y81" s="137">
        <f>Y120*'Discontinued - OLDTABLE A'!Y78</f>
        <v>206.96880000000002</v>
      </c>
      <c r="Z81" s="34">
        <f>Z120*'Discontinued - OLDTABLE A'!Z78</f>
        <v>440.53600000000006</v>
      </c>
      <c r="AA81" s="94">
        <f>AA120*'Discontinued - OLDTABLE A'!AA78</f>
        <v>441.10450000000003</v>
      </c>
    </row>
    <row r="82" spans="1:27" x14ac:dyDescent="0.3">
      <c r="A82" s="134">
        <v>6</v>
      </c>
      <c r="B82" s="133">
        <v>2013</v>
      </c>
      <c r="C82" s="101">
        <f>'Discontinued - OLDTABLE A'!D79/'Discontinued - TABLE B'!C$120</f>
        <v>129.45749999531364</v>
      </c>
      <c r="D82" s="35">
        <f>'Discontinued - OLDTABLE A'!E79/'Discontinued - TABLE B'!D$120</f>
        <v>130.38000000208609</v>
      </c>
      <c r="E82" s="92">
        <f>'Discontinued - OLDTABLE A'!F79/'Discontinued - TABLE B'!E$120</f>
        <v>130.58010000295113</v>
      </c>
      <c r="F82" s="101">
        <f>'Discontinued - OLDTABLE A'!G79/'Discontinued - TABLE B'!F$120</f>
        <v>131.45100000841288</v>
      </c>
      <c r="G82" s="35">
        <f>'Discontinued - OLDTABLE A'!J79/'Discontinued - TABLE B'!G$120</f>
        <v>130.73710000637999</v>
      </c>
      <c r="H82" s="118">
        <f>'Discontinued - OLDTABLE A'!I79/'Discontinued - TABLE B'!H$120</f>
        <v>128.52210000159369</v>
      </c>
      <c r="I82" s="92"/>
      <c r="J82" s="35">
        <f>'Discontinued - OLDTABLE A'!M79/'Discontinued - TABLE B'!J$120</f>
        <v>131.61840000384325</v>
      </c>
      <c r="K82" s="97">
        <f>'Discontinued - OLDTABLE A'!N79/'Discontinued - TABLE B'!K$120</f>
        <v>128.62960000005145</v>
      </c>
      <c r="L82" s="43">
        <f>'Discontinued - OLDTABLE A'!O79/'Discontinued - TABLE B'!L$120</f>
        <v>131.50619999303018</v>
      </c>
      <c r="M82" s="101">
        <f>'Discontinued - OLDTABLE A'!L79/'Discontinued - TABLE B'!M$120</f>
        <v>130.839799992987</v>
      </c>
      <c r="N82" s="43">
        <f>'Discontinued - OLDTABLE A'!H79/'Discontinued - TABLE B'!N$120</f>
        <v>133.15369999482033</v>
      </c>
      <c r="O82" s="92">
        <f>'Discontinued - OLDTABLE A'!H79/'Discontinued - TABLE B'!O$120</f>
        <v>133.15369999482033</v>
      </c>
      <c r="P82" s="101">
        <f>'Discontinued - OLDTABLE A'!P79/'Discontinued - TABLE B'!P$120</f>
        <v>129.92100000051968</v>
      </c>
      <c r="Q82" s="44">
        <f>'Discontinued - OLDTABLE A'!Q79/'Discontinued - TABLE B'!Q$120</f>
        <v>129.663599994995</v>
      </c>
      <c r="R82" s="43"/>
      <c r="S82" s="34">
        <f>S$120*'Discontinued - OLDTABLE A'!S79</f>
        <v>238.33279999999999</v>
      </c>
      <c r="T82" s="100">
        <f>T$120*'Discontinued - OLDTABLE A'!T79</f>
        <v>310.09699999999998</v>
      </c>
      <c r="U82" s="137">
        <f>U$120*'Discontinued - OLDTABLE A'!U79</f>
        <v>348.726</v>
      </c>
      <c r="V82" s="96">
        <f>V$120*'Discontinued - OLDTABLE A'!V79</f>
        <v>428.17680000000001</v>
      </c>
      <c r="W82" s="37">
        <f>W$120*'Discontinued - OLDTABLE A'!W79</f>
        <v>201.20860000000002</v>
      </c>
      <c r="X82" s="100">
        <f>X$120*'Discontinued - OLDTABLE A'!X79</f>
        <v>229.70160000000001</v>
      </c>
      <c r="Y82" s="137">
        <f>Y$120*'Discontinued - OLDTABLE A'!Y79</f>
        <v>208.5624</v>
      </c>
      <c r="Z82" s="34">
        <f>Z$120*'Discontinued - OLDTABLE A'!Z79</f>
        <v>470.64000000000004</v>
      </c>
      <c r="AA82" s="94">
        <f>AA$120*'Discontinued - OLDTABLE A'!AA79</f>
        <v>472.64200000000005</v>
      </c>
    </row>
    <row r="83" spans="1:27" x14ac:dyDescent="0.3">
      <c r="A83" s="134">
        <v>7</v>
      </c>
      <c r="B83" s="133">
        <v>2013</v>
      </c>
      <c r="C83" s="101">
        <f>'Discontinued - OLDTABLE A'!D80/'Discontinued - TABLE B'!C$120</f>
        <v>130.59419999527248</v>
      </c>
      <c r="D83" s="35">
        <f>'Discontinued - OLDTABLE A'!E80/'Discontinued - TABLE B'!D$120</f>
        <v>131.5248000021044</v>
      </c>
      <c r="E83" s="92">
        <f>'Discontinued - OLDTABLE A'!F80/'Discontinued - TABLE B'!E$120</f>
        <v>133.11810000300846</v>
      </c>
      <c r="F83" s="101">
        <f>'Discontinued - OLDTABLE A'!G80/'Discontinued - TABLE B'!F$120</f>
        <v>133.25700000852845</v>
      </c>
      <c r="G83" s="35">
        <f>'Discontinued - OLDTABLE A'!J80/'Discontinued - TABLE B'!G$120</f>
        <v>132.39200000646073</v>
      </c>
      <c r="H83" s="118">
        <f>'Discontinued - OLDTABLE A'!I80/'Discontinued - TABLE B'!H$120</f>
        <v>130.14580000161382</v>
      </c>
      <c r="I83" s="92"/>
      <c r="J83" s="35">
        <f>'Discontinued - OLDTABLE A'!M80/'Discontinued - TABLE B'!J$120</f>
        <v>133.14000000388768</v>
      </c>
      <c r="K83" s="97">
        <f>'Discontinued - OLDTABLE A'!N80/'Discontinued - TABLE B'!K$120</f>
        <v>129.7492000000519</v>
      </c>
      <c r="L83" s="43">
        <f>'Discontinued - OLDTABLE A'!O80/'Discontinued - TABLE B'!L$120</f>
        <v>132.91199999295566</v>
      </c>
      <c r="M83" s="101">
        <f>'Discontinued - OLDTABLE A'!L80/'Discontinued - TABLE B'!M$120</f>
        <v>132.24119999291187</v>
      </c>
      <c r="N83" s="43">
        <f>'Discontinued - OLDTABLE A'!H80/'Discontinued - TABLE B'!N$120</f>
        <v>134.44269999477018</v>
      </c>
      <c r="O83" s="92">
        <f>'Discontinued - OLDTABLE A'!H80/'Discontinued - TABLE B'!O$120</f>
        <v>134.44269999477018</v>
      </c>
      <c r="P83" s="101">
        <f>'Discontinued - OLDTABLE A'!P80/'Discontinued - TABLE B'!P$120</f>
        <v>131.06400000052426</v>
      </c>
      <c r="Q83" s="44">
        <f>'Discontinued - OLDTABLE A'!Q80/'Discontinued - TABLE B'!Q$120</f>
        <v>130.7921999949514</v>
      </c>
      <c r="R83" s="43"/>
      <c r="S83" s="34">
        <f>S$120*'Discontinued - OLDTABLE A'!S80</f>
        <v>239.46879999999999</v>
      </c>
      <c r="T83" s="100">
        <f>T$120*'Discontinued - OLDTABLE A'!T80</f>
        <v>310.09699999999998</v>
      </c>
      <c r="U83" s="137">
        <f>U$120*'Discontinued - OLDTABLE A'!U80</f>
        <v>352.26800000000003</v>
      </c>
      <c r="V83" s="96">
        <f>V$120*'Discontinued - OLDTABLE A'!V80</f>
        <v>441.45360000000005</v>
      </c>
      <c r="W83" s="37">
        <f>W$120*'Discontinued - OLDTABLE A'!W80</f>
        <v>204.4539</v>
      </c>
      <c r="X83" s="100">
        <f>X$120*'Discontinued - OLDTABLE A'!X80</f>
        <v>234.75240000000002</v>
      </c>
      <c r="Y83" s="137">
        <f>Y$120*'Discontinued - OLDTABLE A'!Y80</f>
        <v>211.35119999999998</v>
      </c>
      <c r="Z83" s="34">
        <f>Z$120*'Discontinued - OLDTABLE A'!Z80</f>
        <v>483.78399999999999</v>
      </c>
      <c r="AA83" s="94">
        <f>AA$120*'Discontinued - OLDTABLE A'!AA80</f>
        <v>485.67750000000001</v>
      </c>
    </row>
    <row r="84" spans="1:27" x14ac:dyDescent="0.3">
      <c r="A84" s="134">
        <v>8</v>
      </c>
      <c r="B84" s="133">
        <v>2013</v>
      </c>
      <c r="C84" s="101">
        <f>'Discontinued - OLDTABLE A'!D81/'Discontinued - TABLE B'!C$120</f>
        <v>130.97309999525876</v>
      </c>
      <c r="D84" s="35">
        <f>'Discontinued - OLDTABLE A'!E81/'Discontinued - TABLE B'!D$120</f>
        <v>131.9064000021105</v>
      </c>
      <c r="E84" s="92">
        <f>'Discontinued - OLDTABLE A'!F81/'Discontinued - TABLE B'!E$120</f>
        <v>133.24500000301134</v>
      </c>
      <c r="F84" s="101">
        <f>'Discontinued - OLDTABLE A'!G81/'Discontinued - TABLE B'!F$120</f>
        <v>133.77300000856147</v>
      </c>
      <c r="G84" s="35">
        <f>'Discontinued - OLDTABLE A'!J81/'Discontinued - TABLE B'!G$120</f>
        <v>132.9012000064856</v>
      </c>
      <c r="H84" s="118">
        <f>'Discontinued - OLDTABLE A'!I81/'Discontinued - TABLE B'!H$120</f>
        <v>130.64540000162</v>
      </c>
      <c r="I84" s="92"/>
      <c r="J84" s="35">
        <f>'Discontinued - OLDTABLE A'!M81/'Discontinued - TABLE B'!J$120</f>
        <v>133.3936000038951</v>
      </c>
      <c r="K84" s="97">
        <f>'Discontinued - OLDTABLE A'!N81/'Discontinued - TABLE B'!K$120</f>
        <v>130.12240000005204</v>
      </c>
      <c r="L84" s="43">
        <f>'Discontinued - OLDTABLE A'!O81/'Discontinued - TABLE B'!L$120</f>
        <v>133.29539999293536</v>
      </c>
      <c r="M84" s="101">
        <f>'Discontinued - OLDTABLE A'!L81/'Discontinued - TABLE B'!M$120</f>
        <v>132.62339999289139</v>
      </c>
      <c r="N84" s="43">
        <f>'Discontinued - OLDTABLE A'!H81/'Discontinued - TABLE B'!N$120</f>
        <v>134.82939999475514</v>
      </c>
      <c r="O84" s="92">
        <f>'Discontinued - OLDTABLE A'!H81/'Discontinued - TABLE B'!O$120</f>
        <v>134.82939999475514</v>
      </c>
      <c r="P84" s="101">
        <f>'Discontinued - OLDTABLE A'!P81/'Discontinued - TABLE B'!P$120</f>
        <v>131.31800000052527</v>
      </c>
      <c r="Q84" s="44">
        <f>'Discontinued - OLDTABLE A'!Q81/'Discontinued - TABLE B'!Q$120</f>
        <v>131.29379999493207</v>
      </c>
      <c r="R84" s="43"/>
      <c r="S84" s="34">
        <f>S$120*'Discontinued - OLDTABLE A'!S81</f>
        <v>239.92319999999995</v>
      </c>
      <c r="T84" s="100">
        <f>T$120*'Discontinued - OLDTABLE A'!T81</f>
        <v>309.51900000000001</v>
      </c>
      <c r="U84" s="137">
        <f>U$120*'Discontinued - OLDTABLE A'!U81</f>
        <v>351.30200000000002</v>
      </c>
      <c r="V84" s="96">
        <f>V$120*'Discontinued - OLDTABLE A'!V81</f>
        <v>455.56020000000001</v>
      </c>
      <c r="W84" s="37">
        <f>W$120*'Discontinued - OLDTABLE A'!W81</f>
        <v>206.3629</v>
      </c>
      <c r="X84" s="100">
        <f>X$120*'Discontinued - OLDTABLE A'!X81</f>
        <v>235.85040000000004</v>
      </c>
      <c r="Y84" s="137">
        <f>Y$120*'Discontinued - OLDTABLE A'!Y81</f>
        <v>212.34719999999999</v>
      </c>
      <c r="Z84" s="34">
        <f>Z$120*'Discontinued - OLDTABLE A'!Z81</f>
        <v>488.87200000000001</v>
      </c>
      <c r="AA84" s="94">
        <f>AA$120*'Discontinued - OLDTABLE A'!AA81</f>
        <v>490.7235</v>
      </c>
    </row>
    <row r="85" spans="1:27" x14ac:dyDescent="0.3">
      <c r="A85" s="134">
        <v>9</v>
      </c>
      <c r="B85" s="133">
        <v>2013</v>
      </c>
      <c r="C85" s="101">
        <f>'Discontinued - OLDTABLE A'!D82/'Discontinued - TABLE B'!C$120</f>
        <v>132.1097999952176</v>
      </c>
      <c r="D85" s="35">
        <f>'Discontinued - OLDTABLE A'!E82/'Discontinued - TABLE B'!D$120</f>
        <v>132.41520000211864</v>
      </c>
      <c r="E85" s="92">
        <f>'Discontinued - OLDTABLE A'!F82/'Discontinued - TABLE B'!E$120</f>
        <v>134.00640000302855</v>
      </c>
      <c r="F85" s="101">
        <f>'Discontinued - OLDTABLE A'!G82/'Discontinued - TABLE B'!F$120</f>
        <v>134.54700000861101</v>
      </c>
      <c r="G85" s="35">
        <f>'Discontinued - OLDTABLE A'!J82/'Discontinued - TABLE B'!G$120</f>
        <v>133.79230000652908</v>
      </c>
      <c r="H85" s="118">
        <f>'Discontinued - OLDTABLE A'!I82/'Discontinued - TABLE B'!H$120</f>
        <v>131.14500000162619</v>
      </c>
      <c r="I85" s="92"/>
      <c r="J85" s="35">
        <f>'Discontinued - OLDTABLE A'!M82/'Discontinued - TABLE B'!J$120</f>
        <v>134.02760000391362</v>
      </c>
      <c r="K85" s="97">
        <f>'Discontinued - OLDTABLE A'!N82/'Discontinued - TABLE B'!K$120</f>
        <v>130.37120000005214</v>
      </c>
      <c r="L85" s="43">
        <f>'Discontinued - OLDTABLE A'!O82/'Discontinued - TABLE B'!L$120</f>
        <v>134.0621999928947</v>
      </c>
      <c r="M85" s="101">
        <f>'Discontinued - OLDTABLE A'!L82/'Discontinued - TABLE B'!M$120</f>
        <v>133.26039999285723</v>
      </c>
      <c r="N85" s="43">
        <f>'Discontinued - OLDTABLE A'!H82/'Discontinued - TABLE B'!N$120</f>
        <v>135.73169999472003</v>
      </c>
      <c r="O85" s="92">
        <f>'Discontinued - OLDTABLE A'!H82/'Discontinued - TABLE B'!O$120</f>
        <v>135.73169999472003</v>
      </c>
      <c r="P85" s="101">
        <f>'Discontinued - OLDTABLE A'!P82/'Discontinued - TABLE B'!P$120</f>
        <v>132.08000000052832</v>
      </c>
      <c r="Q85" s="44">
        <f>'Discontinued - OLDTABLE A'!Q82/'Discontinued - TABLE B'!Q$120</f>
        <v>132.04619999490302</v>
      </c>
      <c r="R85" s="43"/>
      <c r="S85" s="34">
        <f>S$120*'Discontinued - OLDTABLE A'!S82</f>
        <v>238.78719999999996</v>
      </c>
      <c r="T85" s="100">
        <f>T$120*'Discontinued - OLDTABLE A'!T82</f>
        <v>309.51900000000001</v>
      </c>
      <c r="U85" s="137">
        <f>U$120*'Discontinued - OLDTABLE A'!U82</f>
        <v>349.04800000000006</v>
      </c>
      <c r="V85" s="96">
        <f>V$120*'Discontinued - OLDTABLE A'!V82</f>
        <v>462.61349999999999</v>
      </c>
      <c r="W85" s="37">
        <f>W$120*'Discontinued - OLDTABLE A'!W82</f>
        <v>207.31739999999999</v>
      </c>
      <c r="X85" s="100">
        <f>X$120*'Discontinued - OLDTABLE A'!X82</f>
        <v>236.28960000000001</v>
      </c>
      <c r="Y85" s="137">
        <f>Y$120*'Discontinued - OLDTABLE A'!Y82</f>
        <v>213.14400000000001</v>
      </c>
      <c r="Z85" s="34">
        <f>Z$120*'Discontinued - OLDTABLE A'!Z82</f>
        <v>488.44800000000004</v>
      </c>
      <c r="AA85" s="94">
        <f>AA$120*'Discontinued - OLDTABLE A'!AA82</f>
        <v>490.303</v>
      </c>
    </row>
    <row r="86" spans="1:27" x14ac:dyDescent="0.3">
      <c r="A86" s="134">
        <v>10</v>
      </c>
      <c r="B86" s="133">
        <v>2013</v>
      </c>
      <c r="C86" s="101">
        <f>'Discontinued - OLDTABLE A'!D83/'Discontinued - TABLE B'!C$120</f>
        <v>132.48869999520392</v>
      </c>
      <c r="D86" s="35">
        <f>'Discontinued - OLDTABLE A'!E83/'Discontinued - TABLE B'!D$120</f>
        <v>132.66960000212271</v>
      </c>
      <c r="E86" s="92">
        <f>'Discontinued - OLDTABLE A'!F83/'Discontinued - TABLE B'!E$120</f>
        <v>134.13330000303142</v>
      </c>
      <c r="F86" s="101">
        <f>'Discontinued - OLDTABLE A'!G83/'Discontinued - TABLE B'!F$120</f>
        <v>134.8050000086275</v>
      </c>
      <c r="G86" s="35">
        <f>'Discontinued - OLDTABLE A'!J83/'Discontinued - TABLE B'!G$120</f>
        <v>134.04690000654148</v>
      </c>
      <c r="H86" s="118">
        <f>'Discontinued - OLDTABLE A'!I83/'Discontinued - TABLE B'!H$120</f>
        <v>131.14500000162619</v>
      </c>
      <c r="I86" s="92"/>
      <c r="J86" s="35">
        <f>'Discontinued - OLDTABLE A'!M83/'Discontinued - TABLE B'!J$120</f>
        <v>134.28120000392101</v>
      </c>
      <c r="K86" s="97">
        <f>'Discontinued - OLDTABLE A'!N83/'Discontinued - TABLE B'!K$120</f>
        <v>130.74440000005228</v>
      </c>
      <c r="L86" s="43">
        <f>'Discontinued - OLDTABLE A'!O83/'Discontinued - TABLE B'!L$120</f>
        <v>134.18999999288795</v>
      </c>
      <c r="M86" s="101">
        <f>'Discontinued - OLDTABLE A'!L83/'Discontinued - TABLE B'!M$120</f>
        <v>133.76999999282992</v>
      </c>
      <c r="N86" s="43">
        <f>'Discontinued - OLDTABLE A'!H83/'Discontinued - TABLE B'!N$120</f>
        <v>136.2472999947</v>
      </c>
      <c r="O86" s="92">
        <f>'Discontinued - OLDTABLE A'!H83/'Discontinued - TABLE B'!O$120</f>
        <v>136.2472999947</v>
      </c>
      <c r="P86" s="101">
        <f>'Discontinued - OLDTABLE A'!P83/'Discontinued - TABLE B'!P$120</f>
        <v>132.33400000052936</v>
      </c>
      <c r="Q86" s="44">
        <f>'Discontinued - OLDTABLE A'!Q83/'Discontinued - TABLE B'!Q$120</f>
        <v>132.17159999489817</v>
      </c>
      <c r="R86" s="43"/>
      <c r="S86" s="34">
        <f>S$120*'Discontinued - OLDTABLE A'!S83</f>
        <v>239.01439999999999</v>
      </c>
      <c r="T86" s="100">
        <f>T$120*'Discontinued - OLDTABLE A'!T83</f>
        <v>309.80800000000005</v>
      </c>
      <c r="U86" s="137">
        <f>U$120*'Discontinued - OLDTABLE A'!U83</f>
        <v>349.37</v>
      </c>
      <c r="V86" s="96">
        <f>V$120*'Discontinued - OLDTABLE A'!V83</f>
        <v>459.29430000000002</v>
      </c>
      <c r="W86" s="37">
        <f>W$120*'Discontinued - OLDTABLE A'!W83</f>
        <v>209.03550000000001</v>
      </c>
      <c r="X86" s="100">
        <f>X$120*'Discontinued - OLDTABLE A'!X83</f>
        <v>237.60720000000003</v>
      </c>
      <c r="Y86" s="137">
        <f>Y$120*'Discontinued - OLDTABLE A'!Y83</f>
        <v>214.33919999999998</v>
      </c>
      <c r="Z86" s="34">
        <f>Z$120*'Discontinued - OLDTABLE A'!Z83</f>
        <v>482.512</v>
      </c>
      <c r="AA86" s="94">
        <f>AA$120*'Discontinued - OLDTABLE A'!AA83</f>
        <v>483.99549999999999</v>
      </c>
    </row>
    <row r="87" spans="1:27" x14ac:dyDescent="0.3">
      <c r="A87" s="134">
        <v>11</v>
      </c>
      <c r="B87" s="133">
        <v>2013</v>
      </c>
      <c r="C87" s="101">
        <f>'Discontinued - OLDTABLE A'!D84/'Discontinued - TABLE B'!C$120</f>
        <v>132.48869999520392</v>
      </c>
      <c r="D87" s="35">
        <f>'Discontinued - OLDTABLE A'!E84/'Discontinued - TABLE B'!D$120</f>
        <v>132.9240000021268</v>
      </c>
      <c r="E87" s="92">
        <f>'Discontinued - OLDTABLE A'!F84/'Discontinued - TABLE B'!E$120</f>
        <v>134.13330000303142</v>
      </c>
      <c r="F87" s="101">
        <f>'Discontinued - OLDTABLE A'!G84/'Discontinued - TABLE B'!F$120</f>
        <v>135.19200000865229</v>
      </c>
      <c r="G87" s="35">
        <f>'Discontinued - OLDTABLE A'!J84/'Discontinued - TABLE B'!G$120</f>
        <v>134.42880000656012</v>
      </c>
      <c r="H87" s="118">
        <f>'Discontinued - OLDTABLE A'!I84/'Discontinued - TABLE B'!H$120</f>
        <v>131.02010000162466</v>
      </c>
      <c r="I87" s="92"/>
      <c r="J87" s="35">
        <f>'Discontinued - OLDTABLE A'!M84/'Discontinued - TABLE B'!J$120</f>
        <v>134.15440000391729</v>
      </c>
      <c r="K87" s="97">
        <f>'Discontinued - OLDTABLE A'!N84/'Discontinued - TABLE B'!K$120</f>
        <v>130.62000000005224</v>
      </c>
      <c r="L87" s="43">
        <f>'Discontinued - OLDTABLE A'!O84/'Discontinued - TABLE B'!L$120</f>
        <v>134.31779999288116</v>
      </c>
      <c r="M87" s="101">
        <f>'Discontinued - OLDTABLE A'!L84/'Discontinued - TABLE B'!M$120</f>
        <v>133.64259999283678</v>
      </c>
      <c r="N87" s="43">
        <f>'Discontinued - OLDTABLE A'!H84/'Discontinued - TABLE B'!N$120</f>
        <v>136.50509999468997</v>
      </c>
      <c r="O87" s="92">
        <f>'Discontinued - OLDTABLE A'!H84/'Discontinued - TABLE B'!O$120</f>
        <v>136.50509999468997</v>
      </c>
      <c r="P87" s="101">
        <f>'Discontinued - OLDTABLE A'!P84/'Discontinued - TABLE B'!P$120</f>
        <v>132.33400000052936</v>
      </c>
      <c r="Q87" s="44">
        <f>'Discontinued - OLDTABLE A'!Q84/'Discontinued - TABLE B'!Q$120</f>
        <v>132.42239999488848</v>
      </c>
      <c r="R87" s="43"/>
      <c r="S87" s="34">
        <f>S$120*'Discontinued - OLDTABLE A'!S84</f>
        <v>238.78719999999996</v>
      </c>
      <c r="T87" s="100">
        <f>T$120*'Discontinued - OLDTABLE A'!T84</f>
        <v>309.51900000000001</v>
      </c>
      <c r="U87" s="137">
        <f>U$120*'Discontinued - OLDTABLE A'!U84</f>
        <v>347.11599999999999</v>
      </c>
      <c r="V87" s="96">
        <f>V$120*'Discontinued - OLDTABLE A'!V84</f>
        <v>458.0496</v>
      </c>
      <c r="W87" s="37">
        <f>W$120*'Discontinued - OLDTABLE A'!W84</f>
        <v>209.79910000000001</v>
      </c>
      <c r="X87" s="100">
        <f>X$120*'Discontinued - OLDTABLE A'!X84</f>
        <v>238.48560000000001</v>
      </c>
      <c r="Y87" s="137">
        <f>Y$120*'Discontinued - OLDTABLE A'!Y84</f>
        <v>215.33519999999999</v>
      </c>
      <c r="Z87" s="34">
        <f>Z$120*'Discontinued - OLDTABLE A'!Z84</f>
        <v>486.32800000000003</v>
      </c>
      <c r="AA87" s="94">
        <f>AA$120*'Discontinued - OLDTABLE A'!AA84</f>
        <v>488.20049999999998</v>
      </c>
    </row>
    <row r="88" spans="1:27" ht="15" thickBot="1" x14ac:dyDescent="0.35">
      <c r="A88" s="134">
        <v>12</v>
      </c>
      <c r="B88" s="133">
        <v>2013</v>
      </c>
      <c r="C88" s="101">
        <f>'Discontinued - OLDTABLE A'!D85/'Discontinued - TABLE B'!C$120</f>
        <v>132.61499999519933</v>
      </c>
      <c r="D88" s="35">
        <f>'Discontinued - OLDTABLE A'!E85/'Discontinued - TABLE B'!D$120</f>
        <v>133.43280000213494</v>
      </c>
      <c r="E88" s="92">
        <f>'Discontinued - OLDTABLE A'!F85/'Discontinued - TABLE B'!E$120</f>
        <v>134.76780000304575</v>
      </c>
      <c r="F88" s="101">
        <f>'Discontinued - OLDTABLE A'!G85/'Discontinued - TABLE B'!F$120</f>
        <v>135.7080000086853</v>
      </c>
      <c r="G88" s="35">
        <f>'Discontinued - OLDTABLE A'!J85/'Discontinued - TABLE B'!G$120</f>
        <v>134.81070000657877</v>
      </c>
      <c r="H88" s="118">
        <f>'Discontinued - OLDTABLE A'!I85/'Discontinued - TABLE B'!H$120</f>
        <v>131.39480000162931</v>
      </c>
      <c r="I88" s="92"/>
      <c r="J88" s="35">
        <f>'Discontinued - OLDTABLE A'!M85/'Discontinued - TABLE B'!J$120</f>
        <v>134.78840000393581</v>
      </c>
      <c r="K88" s="97">
        <f>'Discontinued - OLDTABLE A'!N85/'Discontinued - TABLE B'!K$120</f>
        <v>131.24200000005251</v>
      </c>
      <c r="L88" s="43">
        <f>'Discontinued - OLDTABLE A'!O85/'Discontinued - TABLE B'!L$120</f>
        <v>134.57339999286762</v>
      </c>
      <c r="M88" s="101">
        <f>'Discontinued - OLDTABLE A'!L85/'Discontinued - TABLE B'!M$120</f>
        <v>134.40699999279579</v>
      </c>
      <c r="N88" s="43">
        <f>'Discontinued - OLDTABLE A'!H85/'Discontinued - TABLE B'!N$120</f>
        <v>136.89179999467493</v>
      </c>
      <c r="O88" s="92">
        <f>'Discontinued - OLDTABLE A'!H85/'Discontinued - TABLE B'!O$120</f>
        <v>136.89179999467493</v>
      </c>
      <c r="P88" s="101">
        <f>'Discontinued - OLDTABLE A'!P85/'Discontinued - TABLE B'!P$120</f>
        <v>132.71500000053086</v>
      </c>
      <c r="Q88" s="44">
        <f>'Discontinued - OLDTABLE A'!Q85/'Discontinued - TABLE B'!Q$120</f>
        <v>132.79859999487397</v>
      </c>
      <c r="R88" s="43"/>
      <c r="S88" s="34">
        <f>S$120*'Discontinued - OLDTABLE A'!S85</f>
        <v>238.78719999999996</v>
      </c>
      <c r="T88" s="100">
        <f>T$120*'Discontinued - OLDTABLE A'!T85</f>
        <v>309.23</v>
      </c>
      <c r="U88" s="137">
        <f>U$120*'Discontinued - OLDTABLE A'!U85</f>
        <v>347.76000000000005</v>
      </c>
      <c r="V88" s="96">
        <f>V$120*'Discontinued - OLDTABLE A'!V85</f>
        <v>467.59230000000002</v>
      </c>
      <c r="W88" s="37">
        <f>W$120*'Discontinued - OLDTABLE A'!W85</f>
        <v>210.18089999999998</v>
      </c>
      <c r="X88" s="100">
        <f>X$120*'Discontinued - OLDTABLE A'!X85</f>
        <v>238.70520000000002</v>
      </c>
      <c r="Y88" s="137">
        <f>Y$120*'Discontinued - OLDTABLE A'!Y85</f>
        <v>215.93280000000001</v>
      </c>
      <c r="Z88" s="34">
        <f>Z$120*'Discontinued - OLDTABLE A'!Z85</f>
        <v>486.32800000000003</v>
      </c>
      <c r="AA88" s="94">
        <f>AA$120*'Discontinued - OLDTABLE A'!AA85</f>
        <v>488.20049999999998</v>
      </c>
    </row>
    <row r="89" spans="1:27" ht="15" thickTop="1" x14ac:dyDescent="0.3">
      <c r="A89" s="180">
        <v>1</v>
      </c>
      <c r="B89" s="181">
        <v>2014</v>
      </c>
      <c r="C89" s="182">
        <f>'Discontinued - OLDTABLE A'!D86/'Discontinued - TABLE B'!C$120</f>
        <v>133.75169999515819</v>
      </c>
      <c r="D89" s="183">
        <f>'Discontinued - OLDTABLE A'!E86/'Discontinued - TABLE B'!D$120</f>
        <v>134.06880000214511</v>
      </c>
      <c r="E89" s="184">
        <f>'Discontinued - OLDTABLE A'!F86/'Discontinued - TABLE B'!E$120</f>
        <v>135.2754000030572</v>
      </c>
      <c r="F89" s="182">
        <f>'Discontinued - OLDTABLE A'!G86/'Discontinued - TABLE B'!F$120</f>
        <v>136.6110000087431</v>
      </c>
      <c r="G89" s="183">
        <f>'Discontinued - OLDTABLE A'!J86/'Discontinued - TABLE B'!G$120</f>
        <v>135.70180000662225</v>
      </c>
      <c r="H89" s="393">
        <f>'Discontinued - OLDTABLE A'!I86/'Discontinued - TABLE B'!H$120</f>
        <v>132.26910000164014</v>
      </c>
      <c r="I89" s="184"/>
      <c r="J89" s="183">
        <f>'Discontinued - OLDTABLE A'!M86/'Discontinued - TABLE B'!J$120</f>
        <v>135.67600000396175</v>
      </c>
      <c r="K89" s="185">
        <f>'Discontinued - OLDTABLE A'!N86/'Discontinued - TABLE B'!K$120</f>
        <v>132.11280000005286</v>
      </c>
      <c r="L89" s="194">
        <f>'Discontinued - OLDTABLE A'!O86/'Discontinued - TABLE B'!L$120</f>
        <v>135.46799999282021</v>
      </c>
      <c r="M89" s="182">
        <f>'Discontinued - OLDTABLE A'!L86/'Discontinued - TABLE B'!M$120</f>
        <v>135.298799992748</v>
      </c>
      <c r="N89" s="194">
        <f>'Discontinued - OLDTABLE A'!H86/'Discontinued - TABLE B'!N$120</f>
        <v>137.66519999464484</v>
      </c>
      <c r="O89" s="184">
        <f>'Discontinued - OLDTABLE A'!H86/'Discontinued - TABLE B'!O$120</f>
        <v>137.66519999464484</v>
      </c>
      <c r="P89" s="182">
        <f>'Discontinued - OLDTABLE A'!P86/'Discontinued - TABLE B'!P$120</f>
        <v>133.60400000053443</v>
      </c>
      <c r="Q89" s="186">
        <f>'Discontinued - OLDTABLE A'!Q86/'Discontinued - TABLE B'!Q$120</f>
        <v>134.05259999482558</v>
      </c>
      <c r="R89" s="43"/>
      <c r="S89" s="187">
        <f>S$120*'Discontinued - OLDTABLE A'!S86</f>
        <v>240.60479999999998</v>
      </c>
      <c r="T89" s="188">
        <f>T$120*'Discontinued - OLDTABLE A'!T86</f>
        <v>312.40899999999999</v>
      </c>
      <c r="U89" s="189">
        <f>U$120*'Discontinued - OLDTABLE A'!U86</f>
        <v>351.30200000000002</v>
      </c>
      <c r="V89" s="190">
        <f>V$120*'Discontinued - OLDTABLE A'!V86</f>
        <v>481.28399999999999</v>
      </c>
      <c r="W89" s="191">
        <f>W$120*'Discontinued - OLDTABLE A'!W86</f>
        <v>211.3263</v>
      </c>
      <c r="X89" s="188">
        <f>X$120*'Discontinued - OLDTABLE A'!X86</f>
        <v>238.9248</v>
      </c>
      <c r="Y89" s="189">
        <f>Y$120*'Discontinued - OLDTABLE A'!Y86</f>
        <v>215.93280000000001</v>
      </c>
      <c r="Z89" s="187">
        <f>Z$120*'Discontinued - OLDTABLE A'!Z86</f>
        <v>498.62400000000002</v>
      </c>
      <c r="AA89" s="192">
        <f>AA$120*'Discontinued - OLDTABLE A'!AA86</f>
        <v>500.81549999999999</v>
      </c>
    </row>
    <row r="90" spans="1:27" x14ac:dyDescent="0.3">
      <c r="A90" s="134">
        <v>2</v>
      </c>
      <c r="B90" s="133">
        <v>2014</v>
      </c>
      <c r="C90" s="101">
        <f>'Discontinued - OLDTABLE A'!D87/'Discontinued - TABLE B'!C$120</f>
        <v>134.76209999512162</v>
      </c>
      <c r="D90" s="35">
        <f>'Discontinued - OLDTABLE A'!E87/'Discontinued - TABLE B'!D$120</f>
        <v>135.59520000216952</v>
      </c>
      <c r="E90" s="92">
        <f>'Discontinued - OLDTABLE A'!F87/'Discontinued - TABLE B'!E$120</f>
        <v>137.30580000310312</v>
      </c>
      <c r="F90" s="101">
        <f>'Discontinued - OLDTABLE A'!G87/'Discontinued - TABLE B'!F$120</f>
        <v>137.64300000880914</v>
      </c>
      <c r="G90" s="35">
        <f>'Discontinued - OLDTABLE A'!J87/'Discontinued - TABLE B'!G$120</f>
        <v>137.73860000672164</v>
      </c>
      <c r="H90" s="118">
        <f>'Discontinued - OLDTABLE A'!I87/'Discontinued - TABLE B'!H$120</f>
        <v>133.64300000165719</v>
      </c>
      <c r="I90" s="92"/>
      <c r="J90" s="35">
        <f>'Discontinued - OLDTABLE A'!M87/'Discontinued - TABLE B'!J$120</f>
        <v>137.45120000401357</v>
      </c>
      <c r="K90" s="97">
        <f>'Discontinued - OLDTABLE A'!N87/'Discontinued - TABLE B'!K$120</f>
        <v>133.97880000005361</v>
      </c>
      <c r="L90" s="43">
        <f>'Discontinued - OLDTABLE A'!O87/'Discontinued - TABLE B'!L$120</f>
        <v>137.25719999272539</v>
      </c>
      <c r="M90" s="101">
        <f>'Discontinued - OLDTABLE A'!L87/'Discontinued - TABLE B'!M$120</f>
        <v>136.70019999267288</v>
      </c>
      <c r="N90" s="43">
        <f>'Discontinued - OLDTABLE A'!H87/'Discontinued - TABLE B'!N$120</f>
        <v>138.95419999459469</v>
      </c>
      <c r="O90" s="92">
        <f>'Discontinued - OLDTABLE A'!H87/'Discontinued - TABLE B'!O$120</f>
        <v>138.95419999459469</v>
      </c>
      <c r="P90" s="101">
        <f>'Discontinued - OLDTABLE A'!P87/'Discontinued - TABLE B'!P$120</f>
        <v>135.00100000054002</v>
      </c>
      <c r="Q90" s="44">
        <f>'Discontinued - OLDTABLE A'!Q87/'Discontinued - TABLE B'!Q$120</f>
        <v>135.18119999478199</v>
      </c>
      <c r="R90" s="43"/>
      <c r="S90" s="34">
        <f>S$120*'Discontinued - OLDTABLE A'!S87</f>
        <v>240.83199999999997</v>
      </c>
      <c r="T90" s="100">
        <f>T$120*'Discontinued - OLDTABLE A'!T87</f>
        <v>321.65699999999998</v>
      </c>
      <c r="U90" s="137">
        <f>U$120*'Discontinued - OLDTABLE A'!U87</f>
        <v>363.21600000000001</v>
      </c>
      <c r="V90" s="96">
        <f>V$120*'Discontinued - OLDTABLE A'!V87</f>
        <v>494.14589999999998</v>
      </c>
      <c r="W90" s="37">
        <f>W$120*'Discontinued - OLDTABLE A'!W87</f>
        <v>214.38069999999999</v>
      </c>
      <c r="X90" s="100">
        <f>X$120*'Discontinued - OLDTABLE A'!X87</f>
        <v>254.29680000000002</v>
      </c>
      <c r="Y90" s="137">
        <f>Y$120*'Discontinued - OLDTABLE A'!Y87</f>
        <v>217.12799999999999</v>
      </c>
      <c r="Z90" s="34">
        <f>Z$120*'Discontinued - OLDTABLE A'!Z87</f>
        <v>509.22399999999999</v>
      </c>
      <c r="AA90" s="94">
        <f>AA$120*'Discontinued - OLDTABLE A'!AA87</f>
        <v>511.74850000000004</v>
      </c>
    </row>
    <row r="91" spans="1:27" x14ac:dyDescent="0.3">
      <c r="A91" s="134">
        <v>3</v>
      </c>
      <c r="B91" s="133">
        <v>2014</v>
      </c>
      <c r="C91" s="101">
        <f>'Discontinued - OLDTABLE A'!D88/'Discontinued - TABLE B'!C$120</f>
        <v>136.65659999505303</v>
      </c>
      <c r="D91" s="35">
        <f>'Discontinued - OLDTABLE A'!E88/'Discontinued - TABLE B'!D$120</f>
        <v>137.50320000220006</v>
      </c>
      <c r="E91" s="92">
        <f>'Discontinued - OLDTABLE A'!F88/'Discontinued - TABLE B'!E$120</f>
        <v>138.70170000313465</v>
      </c>
      <c r="F91" s="101">
        <f>'Discontinued - OLDTABLE A'!G88/'Discontinued - TABLE B'!F$120</f>
        <v>139.32000000891648</v>
      </c>
      <c r="G91" s="35">
        <f>'Discontinued - OLDTABLE A'!J88/'Discontinued - TABLE B'!G$120</f>
        <v>139.39350000680241</v>
      </c>
      <c r="H91" s="118">
        <f>'Discontinued - OLDTABLE A'!I88/'Discontinued - TABLE B'!H$120</f>
        <v>135.64140000168194</v>
      </c>
      <c r="I91" s="92"/>
      <c r="J91" s="35">
        <f>'Discontinued - OLDTABLE A'!M88/'Discontinued - TABLE B'!J$120</f>
        <v>139.48000000407282</v>
      </c>
      <c r="K91" s="97">
        <f>'Discontinued - OLDTABLE A'!N88/'Discontinued - TABLE B'!K$120</f>
        <v>135.59600000005423</v>
      </c>
      <c r="L91" s="43">
        <f>'Discontinued - OLDTABLE A'!O88/'Discontinued - TABLE B'!L$120</f>
        <v>139.04639999263054</v>
      </c>
      <c r="M91" s="101">
        <f>'Discontinued - OLDTABLE A'!L88/'Discontinued - TABLE B'!M$120</f>
        <v>138.3563999925841</v>
      </c>
      <c r="N91" s="43">
        <f>'Discontinued - OLDTABLE A'!H88/'Discontinued - TABLE B'!N$120</f>
        <v>140.75879999452448</v>
      </c>
      <c r="O91" s="92">
        <f>'Discontinued - OLDTABLE A'!H88/'Discontinued - TABLE B'!O$120</f>
        <v>140.75879999452448</v>
      </c>
      <c r="P91" s="101">
        <f>'Discontinued - OLDTABLE A'!P88/'Discontinued - TABLE B'!P$120</f>
        <v>136.27100000054509</v>
      </c>
      <c r="Q91" s="44">
        <f>'Discontinued - OLDTABLE A'!Q88/'Discontinued - TABLE B'!Q$120</f>
        <v>136.68599999472391</v>
      </c>
      <c r="R91" s="43"/>
      <c r="S91" s="34">
        <f>S$120*'Discontinued - OLDTABLE A'!S88</f>
        <v>243.33119999999997</v>
      </c>
      <c r="T91" s="100">
        <f>T$120*'Discontinued - OLDTABLE A'!T88</f>
        <v>323.96899999999999</v>
      </c>
      <c r="U91" s="137">
        <f>U$120*'Discontinued - OLDTABLE A'!U88</f>
        <v>368.04599999999999</v>
      </c>
      <c r="V91" s="96">
        <f>V$120*'Discontinued - OLDTABLE A'!V88</f>
        <v>493.31610000000001</v>
      </c>
      <c r="W91" s="37">
        <f>W$120*'Discontinued - OLDTABLE A'!W88</f>
        <v>213.99889999999999</v>
      </c>
      <c r="X91" s="100">
        <f>X$120*'Discontinued - OLDTABLE A'!X88</f>
        <v>255.17520000000002</v>
      </c>
      <c r="Y91" s="137">
        <f>Y$120*'Discontinued - OLDTABLE A'!Y88</f>
        <v>218.124</v>
      </c>
      <c r="Z91" s="34">
        <f>Z$120*'Discontinued - OLDTABLE A'!Z88</f>
        <v>519.82399999999996</v>
      </c>
      <c r="AA91" s="94">
        <f>AA$120*'Discontinued - OLDTABLE A'!AA88</f>
        <v>522.68150000000003</v>
      </c>
    </row>
    <row r="92" spans="1:27" x14ac:dyDescent="0.3">
      <c r="A92" s="134">
        <v>4</v>
      </c>
      <c r="B92" s="133">
        <v>2014</v>
      </c>
      <c r="C92" s="101">
        <f>'Discontinued - OLDTABLE A'!D89/'Discontinued - TABLE B'!C$120</f>
        <v>137.16179999503473</v>
      </c>
      <c r="D92" s="35">
        <f>'Discontinued - OLDTABLE A'!E89/'Discontinued - TABLE B'!D$120</f>
        <v>138.0120000022082</v>
      </c>
      <c r="E92" s="92">
        <f>'Discontinued - OLDTABLE A'!F89/'Discontinued - TABLE B'!E$120</f>
        <v>138.82860000313752</v>
      </c>
      <c r="F92" s="101">
        <f>'Discontinued - OLDTABLE A'!G89/'Discontinued - TABLE B'!F$120</f>
        <v>139.8360000089495</v>
      </c>
      <c r="G92" s="35">
        <f>'Discontinued - OLDTABLE A'!J89/'Discontinued - TABLE B'!G$120</f>
        <v>139.90270000682727</v>
      </c>
      <c r="H92" s="118">
        <f>'Discontinued - OLDTABLE A'!I89/'Discontinued - TABLE B'!H$120</f>
        <v>136.26590000168969</v>
      </c>
      <c r="I92" s="92"/>
      <c r="J92" s="35">
        <f>'Discontinued - OLDTABLE A'!M89/'Discontinued - TABLE B'!J$120</f>
        <v>140.24080000409501</v>
      </c>
      <c r="K92" s="97">
        <f>'Discontinued - OLDTABLE A'!N89/'Discontinued - TABLE B'!K$120</f>
        <v>136.2180000000545</v>
      </c>
      <c r="L92" s="43">
        <f>'Discontinued - OLDTABLE A'!O89/'Discontinued - TABLE B'!L$120</f>
        <v>139.55759999260346</v>
      </c>
      <c r="M92" s="101">
        <f>'Discontinued - OLDTABLE A'!L89/'Discontinued - TABLE B'!M$120</f>
        <v>138.99339999254997</v>
      </c>
      <c r="N92" s="43">
        <f>'Discontinued - OLDTABLE A'!H89/'Discontinued - TABLE B'!N$120</f>
        <v>141.40329999449941</v>
      </c>
      <c r="O92" s="92">
        <f>'Discontinued - OLDTABLE A'!H89/'Discontinued - TABLE B'!O$120</f>
        <v>141.40329999449941</v>
      </c>
      <c r="P92" s="101">
        <f>'Discontinued - OLDTABLE A'!P89/'Discontinued - TABLE B'!P$120</f>
        <v>136.90600000054764</v>
      </c>
      <c r="Q92" s="44">
        <f>'Discontinued - OLDTABLE A'!Q89/'Discontinued - TABLE B'!Q$120</f>
        <v>137.18759999470456</v>
      </c>
      <c r="R92" s="43"/>
      <c r="S92" s="34">
        <f>S$120*'Discontinued - OLDTABLE A'!S89</f>
        <v>244.23999999999998</v>
      </c>
      <c r="T92" s="100">
        <f>T$120*'Discontinued - OLDTABLE A'!T89</f>
        <v>325.41399999999999</v>
      </c>
      <c r="U92" s="137">
        <f>U$120*'Discontinued - OLDTABLE A'!U89</f>
        <v>367.72400000000005</v>
      </c>
      <c r="V92" s="96">
        <f>V$120*'Discontinued - OLDTABLE A'!V89</f>
        <v>482.9436</v>
      </c>
      <c r="W92" s="37">
        <f>W$120*'Discontinued - OLDTABLE A'!W89</f>
        <v>215.52610000000001</v>
      </c>
      <c r="X92" s="100">
        <f>X$120*'Discontinued - OLDTABLE A'!X89</f>
        <v>258.03000000000003</v>
      </c>
      <c r="Y92" s="137">
        <f>Y$120*'Discontinued - OLDTABLE A'!Y89</f>
        <v>221.90880000000001</v>
      </c>
      <c r="Z92" s="34">
        <f>Z$120*'Discontinued - OLDTABLE A'!Z89</f>
        <v>516.00800000000004</v>
      </c>
      <c r="AA92" s="94">
        <f>AA$120*'Discontinued - OLDTABLE A'!AA89</f>
        <v>518.05600000000004</v>
      </c>
    </row>
    <row r="93" spans="1:27" x14ac:dyDescent="0.3">
      <c r="A93" s="134">
        <v>5</v>
      </c>
      <c r="B93" s="133">
        <v>2014</v>
      </c>
      <c r="C93" s="101">
        <f>'Discontinued - OLDTABLE A'!D90/'Discontinued - TABLE B'!C$120</f>
        <v>137.54069999502101</v>
      </c>
      <c r="D93" s="35">
        <f>'Discontinued - OLDTABLE A'!E90/'Discontinued - TABLE B'!D$120</f>
        <v>138.3936000022143</v>
      </c>
      <c r="E93" s="92">
        <f>'Discontinued - OLDTABLE A'!F90/'Discontinued - TABLE B'!E$120</f>
        <v>139.08240000314325</v>
      </c>
      <c r="F93" s="101">
        <f>'Discontinued - OLDTABLE A'!G90/'Discontinued - TABLE B'!F$120</f>
        <v>140.35200000898251</v>
      </c>
      <c r="G93" s="35">
        <f>'Discontinued - OLDTABLE A'!J90/'Discontinued - TABLE B'!G$120</f>
        <v>140.41190000685211</v>
      </c>
      <c r="H93" s="118">
        <f>'Discontinued - OLDTABLE A'!I90/'Discontinued - TABLE B'!H$120</f>
        <v>136.64060000169434</v>
      </c>
      <c r="I93" s="92"/>
      <c r="J93" s="35">
        <f>'Discontinued - OLDTABLE A'!M90/'Discontinued - TABLE B'!J$120</f>
        <v>140.36760000409873</v>
      </c>
      <c r="K93" s="97">
        <f>'Discontinued - OLDTABLE A'!N90/'Discontinued - TABLE B'!K$120</f>
        <v>136.34240000005454</v>
      </c>
      <c r="L93" s="43">
        <f>'Discontinued - OLDTABLE A'!O90/'Discontinued - TABLE B'!L$120</f>
        <v>139.68539999259667</v>
      </c>
      <c r="M93" s="101">
        <f>'Discontinued - OLDTABLE A'!L90/'Discontinued - TABLE B'!M$120</f>
        <v>139.24819999253631</v>
      </c>
      <c r="N93" s="43">
        <f>'Discontinued - OLDTABLE A'!H90/'Discontinued - TABLE B'!N$120</f>
        <v>141.6610999944894</v>
      </c>
      <c r="O93" s="92">
        <f>'Discontinued - OLDTABLE A'!H90/'Discontinued - TABLE B'!O$120</f>
        <v>141.6610999944894</v>
      </c>
      <c r="P93" s="101">
        <f>'Discontinued - OLDTABLE A'!P90/'Discontinued - TABLE B'!P$120</f>
        <v>137.41400000054966</v>
      </c>
      <c r="Q93" s="44">
        <f>'Discontinued - OLDTABLE A'!Q90/'Discontinued - TABLE B'!Q$120</f>
        <v>137.6891999946852</v>
      </c>
      <c r="R93" s="43"/>
      <c r="S93" s="34">
        <f>S$120*'Discontinued - OLDTABLE A'!S90</f>
        <v>244.69439999999997</v>
      </c>
      <c r="T93" s="100">
        <f>T$120*'Discontinued - OLDTABLE A'!T90</f>
        <v>324.83600000000001</v>
      </c>
      <c r="U93" s="137">
        <f>U$120*'Discontinued - OLDTABLE A'!U90</f>
        <v>365.79200000000003</v>
      </c>
      <c r="V93" s="96">
        <f>V$120*'Discontinued - OLDTABLE A'!V90</f>
        <v>475.06049999999999</v>
      </c>
      <c r="W93" s="37">
        <f>W$120*'Discontinued - OLDTABLE A'!W90</f>
        <v>216.48060000000001</v>
      </c>
      <c r="X93" s="100">
        <f>X$120*'Discontinued - OLDTABLE A'!X90</f>
        <v>258.4692</v>
      </c>
      <c r="Y93" s="137">
        <f>Y$120*'Discontinued - OLDTABLE A'!Y90</f>
        <v>222.7056</v>
      </c>
      <c r="Z93" s="34">
        <f>Z$120*'Discontinued - OLDTABLE A'!Z90</f>
        <v>504.56</v>
      </c>
      <c r="AA93" s="94">
        <f>AA$120*'Discontinued - OLDTABLE A'!AA90</f>
        <v>505.86149999999998</v>
      </c>
    </row>
    <row r="94" spans="1:27" x14ac:dyDescent="0.3">
      <c r="A94" s="134">
        <v>6</v>
      </c>
      <c r="B94" s="133">
        <v>2014</v>
      </c>
      <c r="C94" s="101">
        <f>'Discontinued - OLDTABLE A'!D91/'Discontinued - TABLE B'!C$120</f>
        <v>137.9195999950073</v>
      </c>
      <c r="D94" s="35">
        <f>'Discontinued - OLDTABLE A'!E91/'Discontinued - TABLE B'!D$120</f>
        <v>139.15680000222653</v>
      </c>
      <c r="E94" s="92">
        <f>'Discontinued - OLDTABLE A'!F91/'Discontinued - TABLE B'!E$120</f>
        <v>139.7169000031576</v>
      </c>
      <c r="F94" s="101">
        <f>'Discontinued - OLDTABLE A'!G91/'Discontinued - TABLE B'!F$120</f>
        <v>140.86800000901556</v>
      </c>
      <c r="G94" s="35">
        <f>'Discontinued - OLDTABLE A'!J91/'Discontinued - TABLE B'!G$120</f>
        <v>140.28460000684589</v>
      </c>
      <c r="H94" s="118">
        <f>'Discontinued - OLDTABLE A'!I91/'Discontinued - TABLE B'!H$120</f>
        <v>136.7655000016959</v>
      </c>
      <c r="I94" s="92"/>
      <c r="J94" s="35">
        <f>'Discontinued - OLDTABLE A'!M91/'Discontinued - TABLE B'!J$120</f>
        <v>141.00160000411725</v>
      </c>
      <c r="K94" s="97">
        <f>'Discontinued - OLDTABLE A'!N91/'Discontinued - TABLE B'!K$120</f>
        <v>136.84000000005474</v>
      </c>
      <c r="L94" s="43">
        <f>'Discontinued - OLDTABLE A'!O91/'Discontinued - TABLE B'!L$120</f>
        <v>139.94099999258313</v>
      </c>
      <c r="M94" s="101">
        <f>'Discontinued - OLDTABLE A'!L91/'Discontinued - TABLE B'!M$120</f>
        <v>140.01259999249535</v>
      </c>
      <c r="N94" s="43">
        <f>'Discontinued - OLDTABLE A'!H91/'Discontinued - TABLE B'!N$120</f>
        <v>142.04779999447436</v>
      </c>
      <c r="O94" s="92">
        <f>'Discontinued - OLDTABLE A'!H91/'Discontinued - TABLE B'!O$120</f>
        <v>142.04779999447436</v>
      </c>
      <c r="P94" s="101">
        <f>'Discontinued - OLDTABLE A'!P91/'Discontinued - TABLE B'!P$120</f>
        <v>138.04900000055221</v>
      </c>
      <c r="Q94" s="44">
        <f>'Discontinued - OLDTABLE A'!Q91/'Discontinued - TABLE B'!Q$120</f>
        <v>137.6891999946852</v>
      </c>
      <c r="R94" s="43"/>
      <c r="S94" s="34">
        <f>S$120*'Discontinued - OLDTABLE A'!S91</f>
        <v>245.37599999999998</v>
      </c>
      <c r="T94" s="100">
        <f>T$120*'Discontinued - OLDTABLE A'!T91</f>
        <v>324.83600000000001</v>
      </c>
      <c r="U94" s="137">
        <f>U$120*'Discontinued - OLDTABLE A'!U91</f>
        <v>367.40199999999999</v>
      </c>
      <c r="V94" s="96">
        <f>V$120*'Discontinued - OLDTABLE A'!V91</f>
        <v>472.98599999999999</v>
      </c>
      <c r="W94" s="37">
        <f>W$120*'Discontinued - OLDTABLE A'!W91</f>
        <v>216.86239999999998</v>
      </c>
      <c r="X94" s="100">
        <f>X$120*'Discontinued - OLDTABLE A'!X91</f>
        <v>256.27320000000003</v>
      </c>
      <c r="Y94" s="137">
        <f>Y$120*'Discontinued - OLDTABLE A'!Y91</f>
        <v>220.9128</v>
      </c>
      <c r="Z94" s="34">
        <f>Z$120*'Discontinued - OLDTABLE A'!Z91</f>
        <v>495.65600000000006</v>
      </c>
      <c r="AA94" s="94">
        <f>AA$120*'Discontinued - OLDTABLE A'!AA91</f>
        <v>496.19</v>
      </c>
    </row>
    <row r="95" spans="1:27" x14ac:dyDescent="0.3">
      <c r="A95" s="134">
        <v>7</v>
      </c>
      <c r="B95" s="133">
        <v>2014</v>
      </c>
      <c r="C95" s="101">
        <f>'Discontinued - OLDTABLE A'!D92/'Discontinued - TABLE B'!C$120</f>
        <v>139.05629999496614</v>
      </c>
      <c r="D95" s="35">
        <f>'Discontinued - OLDTABLE A'!E92/'Discontinued - TABLE B'!D$120</f>
        <v>140.55600000224891</v>
      </c>
      <c r="E95" s="92">
        <f>'Discontinued - OLDTABLE A'!F92/'Discontinued - TABLE B'!E$120</f>
        <v>141.23970000319201</v>
      </c>
      <c r="F95" s="101">
        <f>'Discontinued - OLDTABLE A'!G92/'Discontinued - TABLE B'!F$120</f>
        <v>143.44800000918067</v>
      </c>
      <c r="G95" s="35">
        <f>'Discontinued - OLDTABLE A'!J92/'Discontinued - TABLE B'!G$120</f>
        <v>140.92110000687697</v>
      </c>
      <c r="H95" s="118">
        <f>'Discontinued - OLDTABLE A'!I92/'Discontinued - TABLE B'!H$120</f>
        <v>138.51410000171759</v>
      </c>
      <c r="I95" s="92"/>
      <c r="J95" s="35">
        <f>'Discontinued - OLDTABLE A'!M92/'Discontinued - TABLE B'!J$120</f>
        <v>142.14280000415056</v>
      </c>
      <c r="K95" s="97">
        <f>'Discontinued - OLDTABLE A'!N92/'Discontinued - TABLE B'!K$120</f>
        <v>137.58640000005502</v>
      </c>
      <c r="L95" s="43">
        <f>'Discontinued - OLDTABLE A'!O92/'Discontinued - TABLE B'!L$120</f>
        <v>141.21899999251539</v>
      </c>
      <c r="M95" s="101">
        <f>'Discontinued - OLDTABLE A'!L92/'Discontinued - TABLE B'!M$120</f>
        <v>140.77699999245436</v>
      </c>
      <c r="N95" s="43">
        <f>'Discontinued - OLDTABLE A'!H92/'Discontinued - TABLE B'!N$120</f>
        <v>142.82119999444424</v>
      </c>
      <c r="O95" s="92">
        <f>'Discontinued - OLDTABLE A'!H92/'Discontinued - TABLE B'!O$120</f>
        <v>142.82119999444424</v>
      </c>
      <c r="P95" s="101">
        <f>'Discontinued - OLDTABLE A'!P92/'Discontinued - TABLE B'!P$120</f>
        <v>138.55700000055424</v>
      </c>
      <c r="Q95" s="44">
        <f>'Discontinued - OLDTABLE A'!Q92/'Discontinued - TABLE B'!Q$120</f>
        <v>138.69239999464648</v>
      </c>
      <c r="R95" s="43"/>
      <c r="S95" s="34">
        <f>S$120*'Discontinued - OLDTABLE A'!S92</f>
        <v>245.37599999999998</v>
      </c>
      <c r="T95" s="100">
        <f>T$120*'Discontinued - OLDTABLE A'!T92</f>
        <v>323.68</v>
      </c>
      <c r="U95" s="137">
        <f>U$120*'Discontinued - OLDTABLE A'!U92</f>
        <v>370.62200000000001</v>
      </c>
      <c r="V95" s="96">
        <f>V$120*'Discontinued - OLDTABLE A'!V92</f>
        <v>471.32639999999998</v>
      </c>
      <c r="W95" s="37">
        <f>W$120*'Discontinued - OLDTABLE A'!W92</f>
        <v>217.05330000000001</v>
      </c>
      <c r="X95" s="100">
        <f>X$120*'Discontinued - OLDTABLE A'!X92</f>
        <v>255.3948</v>
      </c>
      <c r="Y95" s="137">
        <f>Y$120*'Discontinued - OLDTABLE A'!Y92</f>
        <v>220.31519999999998</v>
      </c>
      <c r="Z95" s="34">
        <f>Z$120*'Discontinued - OLDTABLE A'!Z92</f>
        <v>501.16800000000006</v>
      </c>
      <c r="AA95" s="94">
        <f>AA$120*'Discontinued - OLDTABLE A'!AA92</f>
        <v>502.07700000000006</v>
      </c>
    </row>
    <row r="96" spans="1:27" x14ac:dyDescent="0.3">
      <c r="A96" s="134">
        <v>8</v>
      </c>
      <c r="B96" s="133">
        <v>2014</v>
      </c>
      <c r="C96" s="101">
        <f>'Discontinued - OLDTABLE A'!D93/'Discontinued - TABLE B'!C$120</f>
        <v>139.56149999494787</v>
      </c>
      <c r="D96" s="35">
        <f>'Discontinued - OLDTABLE A'!E93/'Discontinued - TABLE B'!D$120</f>
        <v>140.93760000225501</v>
      </c>
      <c r="E96" s="92">
        <f>'Discontinued - OLDTABLE A'!F93/'Discontinued - TABLE B'!E$120</f>
        <v>141.49350000319774</v>
      </c>
      <c r="F96" s="101">
        <f>'Discontinued - OLDTABLE A'!G93/'Discontinued - TABLE B'!F$120</f>
        <v>143.7060000091972</v>
      </c>
      <c r="G96" s="35">
        <f>'Discontinued - OLDTABLE A'!J93/'Discontinued - TABLE B'!G$120</f>
        <v>141.55760000690802</v>
      </c>
      <c r="H96" s="118">
        <f>'Discontinued - OLDTABLE A'!I93/'Discontinued - TABLE B'!H$120</f>
        <v>138.63900000171913</v>
      </c>
      <c r="I96" s="92"/>
      <c r="J96" s="35">
        <f>'Discontinued - OLDTABLE A'!M93/'Discontinued - TABLE B'!J$120</f>
        <v>142.52320000416168</v>
      </c>
      <c r="K96" s="97">
        <f>'Discontinued - OLDTABLE A'!N93/'Discontinued - TABLE B'!K$120</f>
        <v>138.08400000005523</v>
      </c>
      <c r="L96" s="43">
        <f>'Discontinued - OLDTABLE A'!O93/'Discontinued - TABLE B'!L$120</f>
        <v>141.73019999248831</v>
      </c>
      <c r="M96" s="101">
        <f>'Discontinued - OLDTABLE A'!L93/'Discontinued - TABLE B'!M$120</f>
        <v>141.41399999242023</v>
      </c>
      <c r="N96" s="43">
        <f>'Discontinued - OLDTABLE A'!H93/'Discontinued - TABLE B'!N$120</f>
        <v>143.33679999442421</v>
      </c>
      <c r="O96" s="92">
        <f>'Discontinued - OLDTABLE A'!H93/'Discontinued - TABLE B'!O$120</f>
        <v>143.33679999442421</v>
      </c>
      <c r="P96" s="101">
        <f>'Discontinued - OLDTABLE A'!P93/'Discontinued - TABLE B'!P$120</f>
        <v>139.31900000055728</v>
      </c>
      <c r="Q96" s="44">
        <f>'Discontinued - OLDTABLE A'!Q93/'Discontinued - TABLE B'!Q$120</f>
        <v>139.19399999462712</v>
      </c>
      <c r="R96" s="43"/>
      <c r="S96" s="34">
        <f>S$120*'Discontinued - OLDTABLE A'!S93</f>
        <v>245.37599999999998</v>
      </c>
      <c r="T96" s="100">
        <f>T$120*'Discontinued - OLDTABLE A'!T93</f>
        <v>323.68</v>
      </c>
      <c r="U96" s="137">
        <f>U$120*'Discontinued - OLDTABLE A'!U93</f>
        <v>367.08000000000004</v>
      </c>
      <c r="V96" s="96">
        <f>V$120*'Discontinued - OLDTABLE A'!V93</f>
        <v>465.51780000000002</v>
      </c>
      <c r="W96" s="37">
        <f>W$120*'Discontinued - OLDTABLE A'!W93</f>
        <v>217.43510000000001</v>
      </c>
      <c r="X96" s="100">
        <f>X$120*'Discontinued - OLDTABLE A'!X93</f>
        <v>257.37120000000004</v>
      </c>
      <c r="Y96" s="137">
        <f>Y$120*'Discontinued - OLDTABLE A'!Y93</f>
        <v>220.51439999999999</v>
      </c>
      <c r="Z96" s="34">
        <f>Z$120*'Discontinued - OLDTABLE A'!Z93</f>
        <v>498.62400000000002</v>
      </c>
      <c r="AA96" s="94">
        <f>AA$120*'Discontinued - OLDTABLE A'!AA93</f>
        <v>499.97450000000003</v>
      </c>
    </row>
    <row r="97" spans="1:27" x14ac:dyDescent="0.3">
      <c r="A97" s="134">
        <v>9</v>
      </c>
      <c r="B97" s="133">
        <v>2014</v>
      </c>
      <c r="C97" s="101">
        <f>'Discontinued - OLDTABLE A'!D94/'Discontinued - TABLE B'!C$120</f>
        <v>140.06669999492959</v>
      </c>
      <c r="D97" s="35">
        <f>'Discontinued - OLDTABLE A'!E94/'Discontinued - TABLE B'!D$120</f>
        <v>140.68320000225094</v>
      </c>
      <c r="E97" s="92">
        <f>'Discontinued - OLDTABLE A'!F94/'Discontinued - TABLE B'!E$120</f>
        <v>141.36660000319489</v>
      </c>
      <c r="F97" s="101">
        <f>'Discontinued - OLDTABLE A'!G94/'Discontinued - TABLE B'!F$120</f>
        <v>143.57700000918891</v>
      </c>
      <c r="G97" s="35">
        <f>'Discontinued - OLDTABLE A'!J94/'Discontinued - TABLE B'!G$120</f>
        <v>141.30300000689559</v>
      </c>
      <c r="H97" s="118">
        <f>'Discontinued - OLDTABLE A'!I94/'Discontinued - TABLE B'!H$120</f>
        <v>138.51410000171759</v>
      </c>
      <c r="I97" s="92"/>
      <c r="J97" s="35">
        <f>'Discontinued - OLDTABLE A'!M94/'Discontinued - TABLE B'!J$120</f>
        <v>142.39640000415798</v>
      </c>
      <c r="K97" s="97">
        <f>'Discontinued - OLDTABLE A'!N94/'Discontinued - TABLE B'!K$120</f>
        <v>138.08400000005523</v>
      </c>
      <c r="L97" s="43">
        <f>'Discontinued - OLDTABLE A'!O94/'Discontinued - TABLE B'!L$120</f>
        <v>141.47459999250185</v>
      </c>
      <c r="M97" s="101">
        <f>'Discontinued - OLDTABLE A'!L94/'Discontinued - TABLE B'!M$120</f>
        <v>141.15919999243388</v>
      </c>
      <c r="N97" s="43">
        <f>'Discontinued - OLDTABLE A'!H94/'Discontinued - TABLE B'!N$120</f>
        <v>143.33679999442421</v>
      </c>
      <c r="O97" s="92">
        <f>'Discontinued - OLDTABLE A'!H94/'Discontinued - TABLE B'!O$120</f>
        <v>143.33679999442421</v>
      </c>
      <c r="P97" s="101">
        <f>'Discontinued - OLDTABLE A'!P94/'Discontinued - TABLE B'!P$120</f>
        <v>139.31900000055728</v>
      </c>
      <c r="Q97" s="44">
        <f>'Discontinued - OLDTABLE A'!Q94/'Discontinued - TABLE B'!Q$120</f>
        <v>139.19399999462712</v>
      </c>
      <c r="R97" s="43"/>
      <c r="S97" s="34">
        <f>S$120*'Discontinued - OLDTABLE A'!S94</f>
        <v>246.96639999999999</v>
      </c>
      <c r="T97" s="100">
        <f>T$120*'Discontinued - OLDTABLE A'!T94</f>
        <v>327.14800000000002</v>
      </c>
      <c r="U97" s="137">
        <f>U$120*'Discontinued - OLDTABLE A'!U94</f>
        <v>367.40199999999999</v>
      </c>
      <c r="V97" s="96">
        <f>V$120*'Discontinued - OLDTABLE A'!V94</f>
        <v>458.87939999999998</v>
      </c>
      <c r="W97" s="37">
        <f>W$120*'Discontinued - OLDTABLE A'!W94</f>
        <v>217.43510000000001</v>
      </c>
      <c r="X97" s="100">
        <f>X$120*'Discontinued - OLDTABLE A'!X94</f>
        <v>257.37120000000004</v>
      </c>
      <c r="Y97" s="137">
        <f>Y$120*'Discontinued - OLDTABLE A'!Y94</f>
        <v>220.31519999999998</v>
      </c>
      <c r="Z97" s="34">
        <f>Z$120*'Discontinued - OLDTABLE A'!Z94</f>
        <v>488.87200000000001</v>
      </c>
      <c r="AA97" s="94">
        <f>AA$120*'Discontinued - OLDTABLE A'!AA94</f>
        <v>489.46200000000005</v>
      </c>
    </row>
    <row r="98" spans="1:27" x14ac:dyDescent="0.3">
      <c r="A98" s="134">
        <v>10</v>
      </c>
      <c r="B98" s="133">
        <v>2014</v>
      </c>
      <c r="C98" s="101">
        <f>'Discontinued - OLDTABLE A'!D95/'Discontinued - TABLE B'!C$120</f>
        <v>140.57189999491129</v>
      </c>
      <c r="D98" s="35">
        <f>'Discontinued - OLDTABLE A'!E95/'Discontinued - TABLE B'!D$120</f>
        <v>140.93760000225501</v>
      </c>
      <c r="E98" s="92">
        <f>'Discontinued - OLDTABLE A'!F95/'Discontinued - TABLE B'!E$120</f>
        <v>141.62040000320061</v>
      </c>
      <c r="F98" s="101">
        <f>'Discontinued - OLDTABLE A'!G95/'Discontinued - TABLE B'!F$120</f>
        <v>143.7060000091972</v>
      </c>
      <c r="G98" s="35">
        <f>'Discontinued - OLDTABLE A'!J95/'Discontinued - TABLE B'!G$120</f>
        <v>141.68490000691423</v>
      </c>
      <c r="H98" s="118">
        <f>'Discontinued - OLDTABLE A'!I95/'Discontinued - TABLE B'!H$120</f>
        <v>138.63900000171913</v>
      </c>
      <c r="I98" s="92"/>
      <c r="J98" s="35">
        <f>'Discontinued - OLDTABLE A'!M95/'Discontinued - TABLE B'!J$120</f>
        <v>142.65000000416538</v>
      </c>
      <c r="K98" s="97">
        <f>'Discontinued - OLDTABLE A'!N95/'Discontinued - TABLE B'!K$120</f>
        <v>138.33280000005533</v>
      </c>
      <c r="L98" s="43">
        <f>'Discontinued - OLDTABLE A'!O95/'Discontinued - TABLE B'!L$120</f>
        <v>141.60239999249507</v>
      </c>
      <c r="M98" s="101">
        <f>'Discontinued - OLDTABLE A'!L95/'Discontinued - TABLE B'!M$120</f>
        <v>141.15919999243388</v>
      </c>
      <c r="N98" s="43">
        <f>'Discontinued - OLDTABLE A'!H95/'Discontinued - TABLE B'!N$120</f>
        <v>143.72349999440917</v>
      </c>
      <c r="O98" s="92">
        <f>'Discontinued - OLDTABLE A'!H95/'Discontinued - TABLE B'!O$120</f>
        <v>143.72349999440917</v>
      </c>
      <c r="P98" s="101">
        <f>'Discontinued - OLDTABLE A'!P95/'Discontinued - TABLE B'!P$120</f>
        <v>139.70000000055882</v>
      </c>
      <c r="Q98" s="44">
        <f>'Discontinued - OLDTABLE A'!Q95/'Discontinued - TABLE B'!Q$120</f>
        <v>139.19399999462712</v>
      </c>
      <c r="R98" s="43"/>
      <c r="S98" s="34">
        <f>S$120*'Discontinued - OLDTABLE A'!S95</f>
        <v>247.19359999999998</v>
      </c>
      <c r="T98" s="100">
        <f>T$120*'Discontinued - OLDTABLE A'!T95</f>
        <v>327.14800000000002</v>
      </c>
      <c r="U98" s="137">
        <f>U$120*'Discontinued - OLDTABLE A'!U95</f>
        <v>368.36800000000005</v>
      </c>
      <c r="V98" s="96">
        <f>V$120*'Discontinued - OLDTABLE A'!V95</f>
        <v>432.32580000000002</v>
      </c>
      <c r="W98" s="37">
        <f>W$120*'Discontinued - OLDTABLE A'!W95</f>
        <v>216.28970000000001</v>
      </c>
      <c r="X98" s="100">
        <f>X$120*'Discontinued - OLDTABLE A'!X95</f>
        <v>257.15160000000003</v>
      </c>
      <c r="Y98" s="137">
        <f>Y$120*'Discontinued - OLDTABLE A'!Y95</f>
        <v>217.9248</v>
      </c>
      <c r="Z98" s="34">
        <f>Z$120*'Discontinued - OLDTABLE A'!Z95</f>
        <v>484.20800000000003</v>
      </c>
      <c r="AA98" s="94">
        <f>AA$120*'Discontinued - OLDTABLE A'!AA95</f>
        <v>484.416</v>
      </c>
    </row>
    <row r="99" spans="1:27" x14ac:dyDescent="0.3">
      <c r="A99" s="134">
        <v>11</v>
      </c>
      <c r="B99" s="133">
        <v>2014</v>
      </c>
      <c r="C99" s="101">
        <f>'Discontinued - OLDTABLE A'!D96/'Discontinued - TABLE B'!C$120</f>
        <v>140.69819999490673</v>
      </c>
      <c r="D99" s="35">
        <f>'Discontinued - OLDTABLE A'!E96/'Discontinued - TABLE B'!D$120</f>
        <v>141.19200000225908</v>
      </c>
      <c r="E99" s="92">
        <f>'Discontinued - OLDTABLE A'!F96/'Discontinued - TABLE B'!E$120</f>
        <v>141.62040000320061</v>
      </c>
      <c r="F99" s="101">
        <f>'Discontinued - OLDTABLE A'!G96/'Discontinued - TABLE B'!F$120</f>
        <v>143.57700000918891</v>
      </c>
      <c r="G99" s="35">
        <f>'Discontinued - OLDTABLE A'!J96/'Discontinued - TABLE B'!G$120</f>
        <v>141.68490000691423</v>
      </c>
      <c r="H99" s="118">
        <f>'Discontinued - OLDTABLE A'!I96/'Discontinued - TABLE B'!H$120</f>
        <v>138.38920000171603</v>
      </c>
      <c r="I99" s="92"/>
      <c r="J99" s="35">
        <f>'Discontinued - OLDTABLE A'!M96/'Discontinued - TABLE B'!J$120</f>
        <v>142.52320000416168</v>
      </c>
      <c r="K99" s="97">
        <f>'Discontinued - OLDTABLE A'!N96/'Discontinued - TABLE B'!K$120</f>
        <v>138.20840000005529</v>
      </c>
      <c r="L99" s="43">
        <f>'Discontinued - OLDTABLE A'!O96/'Discontinued - TABLE B'!L$120</f>
        <v>141.85799999248152</v>
      </c>
      <c r="M99" s="101">
        <f>'Discontinued - OLDTABLE A'!L96/'Discontinued - TABLE B'!M$120</f>
        <v>141.28659999242706</v>
      </c>
      <c r="N99" s="43">
        <f>'Discontinued - OLDTABLE A'!H96/'Discontinued - TABLE B'!N$120</f>
        <v>143.85239999440415</v>
      </c>
      <c r="O99" s="92">
        <f>'Discontinued - OLDTABLE A'!H96/'Discontinued - TABLE B'!O$120</f>
        <v>143.85239999440415</v>
      </c>
      <c r="P99" s="101">
        <f>'Discontinued - OLDTABLE A'!P96/'Discontinued - TABLE B'!P$120</f>
        <v>139.82700000055931</v>
      </c>
      <c r="Q99" s="44">
        <f>'Discontinued - OLDTABLE A'!Q96/'Discontinued - TABLE B'!Q$120</f>
        <v>139.06859999463197</v>
      </c>
      <c r="R99" s="43"/>
      <c r="S99" s="34">
        <f>S$120*'Discontinued - OLDTABLE A'!S96</f>
        <v>246.51199999999997</v>
      </c>
      <c r="T99" s="100">
        <f>T$120*'Discontinued - OLDTABLE A'!T96</f>
        <v>329.46000000000004</v>
      </c>
      <c r="U99" s="137">
        <f>U$120*'Discontinued - OLDTABLE A'!U96</f>
        <v>366.11400000000003</v>
      </c>
      <c r="V99" s="96">
        <f>V$120*'Discontinued - OLDTABLE A'!V96</f>
        <v>406.18710000000004</v>
      </c>
      <c r="W99" s="37">
        <f>W$120*'Discontinued - OLDTABLE A'!W96</f>
        <v>216.86239999999998</v>
      </c>
      <c r="X99" s="100">
        <f>X$120*'Discontinued - OLDTABLE A'!X96</f>
        <v>257.15160000000003</v>
      </c>
      <c r="Y99" s="137">
        <f>Y$120*'Discontinued - OLDTABLE A'!Y96</f>
        <v>217.9248</v>
      </c>
      <c r="Z99" s="34">
        <f>Z$120*'Discontinued - OLDTABLE A'!Z96</f>
        <v>451.13600000000002</v>
      </c>
      <c r="AA99" s="94">
        <f>AA$120*'Discontinued - OLDTABLE A'!AA96</f>
        <v>460.02700000000004</v>
      </c>
    </row>
    <row r="100" spans="1:27" x14ac:dyDescent="0.3">
      <c r="A100" s="134">
        <v>12</v>
      </c>
      <c r="B100" s="133">
        <v>2014</v>
      </c>
      <c r="C100" s="101">
        <f>'Discontinued - OLDTABLE A'!D97/'Discontinued - TABLE B'!C$120</f>
        <v>140.57189999491129</v>
      </c>
      <c r="D100" s="35">
        <f>'Discontinued - OLDTABLE A'!E97/'Discontinued - TABLE B'!D$120</f>
        <v>141.06480000225704</v>
      </c>
      <c r="E100" s="92">
        <f>'Discontinued - OLDTABLE A'!F97/'Discontinued - TABLE B'!E$120</f>
        <v>141.23970000319201</v>
      </c>
      <c r="F100" s="101">
        <f>'Discontinued - OLDTABLE A'!G97/'Discontinued - TABLE B'!F$120</f>
        <v>143.19000000916415</v>
      </c>
      <c r="G100" s="35">
        <f>'Discontinued - OLDTABLE A'!J97/'Discontinued - TABLE B'!G$120</f>
        <v>141.4303000069018</v>
      </c>
      <c r="H100" s="118">
        <f>'Discontinued - OLDTABLE A'!I97/'Discontinued - TABLE B'!H$120</f>
        <v>138.01450000171138</v>
      </c>
      <c r="I100" s="92"/>
      <c r="J100" s="35">
        <f>'Discontinued - OLDTABLE A'!M97/'Discontinued - TABLE B'!J$120</f>
        <v>142.39640000415798</v>
      </c>
      <c r="K100" s="97">
        <f>'Discontinued - OLDTABLE A'!N97/'Discontinued - TABLE B'!K$120</f>
        <v>137.83520000005512</v>
      </c>
      <c r="L100" s="43">
        <f>'Discontinued - OLDTABLE A'!O97/'Discontinued - TABLE B'!L$120</f>
        <v>141.34679999250861</v>
      </c>
      <c r="M100" s="101">
        <f>'Discontinued - OLDTABLE A'!L97/'Discontinued - TABLE B'!M$120</f>
        <v>140.77699999245436</v>
      </c>
      <c r="N100" s="43">
        <f>'Discontinued - OLDTABLE A'!H97/'Discontinued - TABLE B'!N$120</f>
        <v>143.4656999944192</v>
      </c>
      <c r="O100" s="92">
        <f>'Discontinued - OLDTABLE A'!H97/'Discontinued - TABLE B'!O$120</f>
        <v>143.4656999944192</v>
      </c>
      <c r="P100" s="101">
        <f>'Discontinued - OLDTABLE A'!P97/'Discontinued - TABLE B'!P$120</f>
        <v>139.31900000055728</v>
      </c>
      <c r="Q100" s="44">
        <f>'Discontinued - OLDTABLE A'!Q97/'Discontinued - TABLE B'!Q$120</f>
        <v>138.69239999464648</v>
      </c>
      <c r="R100" s="43"/>
      <c r="S100" s="34">
        <f>S$120*'Discontinued - OLDTABLE A'!S97</f>
        <v>245.60319999999996</v>
      </c>
      <c r="T100" s="100">
        <f>T$120*'Discontinued - OLDTABLE A'!T97</f>
        <v>329.46000000000004</v>
      </c>
      <c r="U100" s="137">
        <f>U$120*'Discontinued - OLDTABLE A'!U97</f>
        <v>355.81</v>
      </c>
      <c r="V100" s="96">
        <f>V$120*'Discontinued - OLDTABLE A'!V97</f>
        <v>370.50569999999999</v>
      </c>
      <c r="W100" s="37">
        <f>W$120*'Discontinued - OLDTABLE A'!W97</f>
        <v>216.86239999999998</v>
      </c>
      <c r="X100" s="100">
        <f>X$120*'Discontinued - OLDTABLE A'!X97</f>
        <v>257.15160000000003</v>
      </c>
      <c r="Y100" s="137">
        <f>Y$120*'Discontinued - OLDTABLE A'!Y97</f>
        <v>217.9248</v>
      </c>
      <c r="Z100" s="34">
        <f>Z$120*'Discontinued - OLDTABLE A'!Z97</f>
        <v>429.512</v>
      </c>
      <c r="AA100" s="94">
        <f>AA$120*'Discontinued - OLDTABLE A'!AA97</f>
        <v>439.00200000000001</v>
      </c>
    </row>
    <row r="101" spans="1:27" x14ac:dyDescent="0.3">
      <c r="A101" s="134">
        <v>1</v>
      </c>
      <c r="B101" s="133">
        <v>2015</v>
      </c>
      <c r="C101" s="101">
        <f>'Discontinued - OLDTABLE A'!D98/'Discontinued - TABLE B'!C$120</f>
        <v>140.44559999491585</v>
      </c>
      <c r="D101" s="35">
        <f>'Discontinued - OLDTABLE A'!E98/'Discontinued - TABLE B'!D$120</f>
        <v>140.93760000225501</v>
      </c>
      <c r="E101" s="92">
        <f>'Discontinued - OLDTABLE A'!F98/'Discontinued - TABLE B'!E$120</f>
        <v>140.98590000318626</v>
      </c>
      <c r="F101" s="101">
        <f>'Discontinued - OLDTABLE A'!G98/'Discontinued - TABLE B'!F$120</f>
        <v>143.19000000916415</v>
      </c>
      <c r="G101" s="35">
        <f>'Discontinued - OLDTABLE A'!J98/'Discontinued - TABLE B'!G$120</f>
        <v>141.1757000068894</v>
      </c>
      <c r="H101" s="118">
        <f>'Discontinued - OLDTABLE A'!I98/'Discontinued - TABLE B'!H$120</f>
        <v>137.39000000170364</v>
      </c>
      <c r="I101" s="92"/>
      <c r="J101" s="35">
        <f>'Discontinued - OLDTABLE A'!M98/'Discontinued - TABLE B'!J$120</f>
        <v>142.01600000414686</v>
      </c>
      <c r="K101" s="97">
        <f>'Discontinued - OLDTABLE A'!N98/'Discontinued - TABLE B'!K$120</f>
        <v>137.71080000005509</v>
      </c>
      <c r="L101" s="43">
        <f>'Discontinued - OLDTABLE A'!O98/'Discontinued - TABLE B'!L$120</f>
        <v>140.83559999253572</v>
      </c>
      <c r="M101" s="101">
        <f>'Discontinued - OLDTABLE A'!L98/'Discontinued - TABLE B'!M$120</f>
        <v>140.90439999244754</v>
      </c>
      <c r="N101" s="43">
        <f>'Discontinued - OLDTABLE A'!H98/'Discontinued - TABLE B'!N$120</f>
        <v>143.72349999440917</v>
      </c>
      <c r="O101" s="92">
        <f>'Discontinued - OLDTABLE A'!H98/'Discontinued - TABLE B'!O$120</f>
        <v>143.72349999440917</v>
      </c>
      <c r="P101" s="101">
        <f>'Discontinued - OLDTABLE A'!P98/'Discontinued - TABLE B'!P$120</f>
        <v>139.5730000005583</v>
      </c>
      <c r="Q101" s="44">
        <f>'Discontinued - OLDTABLE A'!Q98/'Discontinued - TABLE B'!Q$120</f>
        <v>138.69239999464648</v>
      </c>
      <c r="R101" s="43"/>
      <c r="S101" s="34">
        <f>S$120*'Discontinued - OLDTABLE A'!S98</f>
        <v>241.05919999999998</v>
      </c>
      <c r="T101" s="100">
        <f>T$120*'Discontinued - OLDTABLE A'!T98</f>
        <v>321.65699999999998</v>
      </c>
      <c r="U101" s="137">
        <f>U$120*'Discontinued - OLDTABLE A'!U98</f>
        <v>345.18400000000003</v>
      </c>
      <c r="V101" s="96">
        <f>V$120*'Discontinued - OLDTABLE A'!V98</f>
        <v>325.69650000000001</v>
      </c>
      <c r="W101" s="37">
        <f>W$120*'Discontinued - OLDTABLE A'!W98</f>
        <v>219.1532</v>
      </c>
      <c r="X101" s="100">
        <f>X$120*'Discontinued - OLDTABLE A'!X98</f>
        <v>259.12800000000004</v>
      </c>
      <c r="Y101" s="137">
        <f>Y$120*'Discontinued - OLDTABLE A'!Y98</f>
        <v>219.3192</v>
      </c>
      <c r="Z101" s="34">
        <f>Z$120*'Discontinued - OLDTABLE A'!Z98</f>
        <v>401.10399999999998</v>
      </c>
      <c r="AA101" s="94">
        <f>AA$120*'Discontinued - OLDTABLE A'!AA98</f>
        <v>409.98750000000001</v>
      </c>
    </row>
    <row r="102" spans="1:27" x14ac:dyDescent="0.3">
      <c r="A102" s="134">
        <v>2</v>
      </c>
      <c r="B102" s="133">
        <v>2015</v>
      </c>
      <c r="C102" s="101">
        <f>'Discontinued - OLDTABLE A'!D99/'Discontinued - TABLE B'!C$120</f>
        <v>140.95079999489755</v>
      </c>
      <c r="D102" s="35">
        <f>'Discontinued - OLDTABLE A'!E99/'Discontinued - TABLE B'!D$120</f>
        <v>141.82800000226925</v>
      </c>
      <c r="E102" s="92">
        <f>'Discontinued - OLDTABLE A'!F99/'Discontinued - TABLE B'!E$120</f>
        <v>142.25490000321494</v>
      </c>
      <c r="F102" s="101">
        <f>'Discontinued - OLDTABLE A'!G99/'Discontinued - TABLE B'!F$120</f>
        <v>143.83500000920543</v>
      </c>
      <c r="G102" s="35">
        <f>'Discontinued - OLDTABLE A'!J99/'Discontinued - TABLE B'!G$120</f>
        <v>142.70330000696393</v>
      </c>
      <c r="H102" s="118">
        <f>'Discontinued - OLDTABLE A'!I99/'Discontinued - TABLE B'!H$120</f>
        <v>138.01450000171138</v>
      </c>
      <c r="I102" s="92"/>
      <c r="J102" s="35">
        <f>'Discontinued - OLDTABLE A'!M99/'Discontinued - TABLE B'!J$120</f>
        <v>142.90360000417277</v>
      </c>
      <c r="K102" s="97">
        <f>'Discontinued - OLDTABLE A'!N99/'Discontinued - TABLE B'!K$120</f>
        <v>139.2036000000557</v>
      </c>
      <c r="L102" s="43">
        <f>'Discontinued - OLDTABLE A'!O99/'Discontinued - TABLE B'!L$120</f>
        <v>141.98579999247474</v>
      </c>
      <c r="M102" s="101">
        <f>'Discontinued - OLDTABLE A'!L99/'Discontinued - TABLE B'!M$120</f>
        <v>141.68153999240587</v>
      </c>
      <c r="N102" s="43">
        <f>'Discontinued - OLDTABLE A'!H99/'Discontinued - TABLE B'!N$120</f>
        <v>144.62579999437406</v>
      </c>
      <c r="O102" s="92">
        <f>'Discontinued - OLDTABLE A'!H99/'Discontinued - TABLE B'!O$120</f>
        <v>144.62579999437406</v>
      </c>
      <c r="P102" s="101">
        <f>'Discontinued - OLDTABLE A'!P99/'Discontinued - TABLE B'!P$120</f>
        <v>140.46200000056186</v>
      </c>
      <c r="Q102" s="44">
        <f>'Discontinued - OLDTABLE A'!Q99/'Discontinued - TABLE B'!Q$120</f>
        <v>139.44479999461743</v>
      </c>
      <c r="R102" s="43"/>
      <c r="S102" s="34">
        <f>S$120*'Discontinued - OLDTABLE A'!S99</f>
        <v>239.69599999999997</v>
      </c>
      <c r="T102" s="100">
        <f>T$120*'Discontinued - OLDTABLE A'!T99</f>
        <v>323.39100000000002</v>
      </c>
      <c r="U102" s="137">
        <f>U$120*'Discontinued - OLDTABLE A'!U99</f>
        <v>329.72800000000007</v>
      </c>
      <c r="V102" s="96">
        <f>V$120*'Discontinued - OLDTABLE A'!V99</f>
        <v>301.2174</v>
      </c>
      <c r="W102" s="37">
        <f>W$120*'Discontinued - OLDTABLE A'!W99</f>
        <v>220.29860000000002</v>
      </c>
      <c r="X102" s="100">
        <f>X$120*'Discontinued - OLDTABLE A'!X99</f>
        <v>259.56720000000001</v>
      </c>
      <c r="Y102" s="137">
        <f>Y$120*'Discontinued - OLDTABLE A'!Y99</f>
        <v>220.11599999999999</v>
      </c>
      <c r="Z102" s="34">
        <f>Z$120*'Discontinued - OLDTABLE A'!Z99</f>
        <v>361.24800000000005</v>
      </c>
      <c r="AA102" s="94">
        <f>AA$120*'Discontinued - OLDTABLE A'!AA99</f>
        <v>367.9375</v>
      </c>
    </row>
    <row r="103" spans="1:27" x14ac:dyDescent="0.3">
      <c r="A103" s="134">
        <v>3</v>
      </c>
      <c r="B103" s="133">
        <v>2015</v>
      </c>
      <c r="C103" s="101">
        <f>'Discontinued - OLDTABLE A'!D100/'Discontinued - TABLE B'!C$120</f>
        <v>143.09789999481984</v>
      </c>
      <c r="D103" s="35">
        <f>'Discontinued - OLDTABLE A'!E100/'Discontinued - TABLE B'!D$120</f>
        <v>143.35440000229369</v>
      </c>
      <c r="E103" s="92">
        <f>'Discontinued - OLDTABLE A'!F100/'Discontinued - TABLE B'!E$120</f>
        <v>144.0315000032551</v>
      </c>
      <c r="F103" s="101">
        <f>'Discontinued - OLDTABLE A'!G100/'Discontinued - TABLE B'!F$120</f>
        <v>145.64100000932103</v>
      </c>
      <c r="G103" s="35">
        <f>'Discontinued - OLDTABLE A'!J100/'Discontinued - TABLE B'!G$120</f>
        <v>144.48550000705089</v>
      </c>
      <c r="H103" s="118">
        <f>'Discontinued - OLDTABLE A'!I100/'Discontinued - TABLE B'!H$120</f>
        <v>140.1378000017377</v>
      </c>
      <c r="I103" s="92"/>
      <c r="J103" s="35">
        <f>'Discontinued - OLDTABLE A'!M100/'Discontinued - TABLE B'!J$120</f>
        <v>145.18600000423942</v>
      </c>
      <c r="K103" s="97">
        <f>'Discontinued - OLDTABLE A'!N100/'Discontinued - TABLE B'!K$120</f>
        <v>141.19400000005649</v>
      </c>
      <c r="L103" s="43">
        <f>'Discontinued - OLDTABLE A'!O100/'Discontinued - TABLE B'!L$120</f>
        <v>143.90279999237316</v>
      </c>
      <c r="M103" s="101">
        <f>'Discontinued - OLDTABLE A'!L100/'Discontinued - TABLE B'!M$120</f>
        <v>143.3249999923178</v>
      </c>
      <c r="N103" s="43">
        <f>'Discontinued - OLDTABLE A'!H100/'Discontinued - TABLE B'!N$120</f>
        <v>146.81709999428884</v>
      </c>
      <c r="O103" s="92">
        <f>'Discontinued - OLDTABLE A'!H100/'Discontinued - TABLE B'!O$120</f>
        <v>146.81709999428884</v>
      </c>
      <c r="P103" s="101">
        <f>'Discontinued - OLDTABLE A'!P100/'Discontinued - TABLE B'!P$120</f>
        <v>141.85900000056745</v>
      </c>
      <c r="Q103" s="44">
        <f>'Discontinued - OLDTABLE A'!Q100/'Discontinued - TABLE B'!Q$120</f>
        <v>141.32579999454484</v>
      </c>
      <c r="R103" s="43"/>
      <c r="S103" s="34">
        <f>S$120*'Discontinued - OLDTABLE A'!S100</f>
        <v>239.01439999999999</v>
      </c>
      <c r="T103" s="100">
        <f>T$120*'Discontinued - OLDTABLE A'!T100</f>
        <v>321.65699999999998</v>
      </c>
      <c r="U103" s="137">
        <f>U$120*'Discontinued - OLDTABLE A'!U100</f>
        <v>335.846</v>
      </c>
      <c r="V103" s="96">
        <f>V$120*'Discontinued - OLDTABLE A'!V100</f>
        <v>331.50510000000003</v>
      </c>
      <c r="W103" s="37">
        <f>W$120*'Discontinued - OLDTABLE A'!W100</f>
        <v>220.48949999999999</v>
      </c>
      <c r="X103" s="100">
        <f>X$120*'Discontinued - OLDTABLE A'!X100</f>
        <v>259.56720000000001</v>
      </c>
      <c r="Y103" s="137">
        <f>Y$120*'Discontinued - OLDTABLE A'!Y100</f>
        <v>220.11599999999999</v>
      </c>
      <c r="Z103" s="34">
        <f>Z$120*'Discontinued - OLDTABLE A'!Z100</f>
        <v>390.08000000000004</v>
      </c>
      <c r="AA103" s="94">
        <f>AA$120*'Discontinued - OLDTABLE A'!AA100</f>
        <v>398.21350000000001</v>
      </c>
    </row>
    <row r="104" spans="1:27" x14ac:dyDescent="0.3">
      <c r="A104" s="134">
        <v>4</v>
      </c>
      <c r="B104" s="133">
        <v>2015</v>
      </c>
      <c r="C104" s="101">
        <f>'Discontinued - OLDTABLE A'!D101/'Discontinued - TABLE B'!C$120</f>
        <v>144.2345999947787</v>
      </c>
      <c r="D104" s="35">
        <f>'Discontinued - OLDTABLE A'!E101/'Discontinued - TABLE B'!D$120</f>
        <v>144.62640000231403</v>
      </c>
      <c r="E104" s="92">
        <f>'Discontinued - OLDTABLE A'!F101/'Discontinued - TABLE B'!E$120</f>
        <v>145.30050000328379</v>
      </c>
      <c r="F104" s="101">
        <f>'Discontinued - OLDTABLE A'!G101/'Discontinued - TABLE B'!F$120</f>
        <v>147.06000000941182</v>
      </c>
      <c r="G104" s="35">
        <f>'Discontinued - OLDTABLE A'!J101/'Discontinued - TABLE B'!G$120</f>
        <v>145.63120000710683</v>
      </c>
      <c r="H104" s="118">
        <f>'Discontinued - OLDTABLE A'!I101/'Discontinued - TABLE B'!H$120</f>
        <v>141.63660000175631</v>
      </c>
      <c r="I104" s="92"/>
      <c r="J104" s="35">
        <f>'Discontinued - OLDTABLE A'!M101/'Discontinued - TABLE B'!J$120</f>
        <v>146.58080000428015</v>
      </c>
      <c r="K104" s="97">
        <f>'Discontinued - OLDTABLE A'!N101/'Discontinued - TABLE B'!K$120</f>
        <v>142.31360000005694</v>
      </c>
      <c r="L104" s="43">
        <f>'Discontinued - OLDTABLE A'!O101/'Discontinued - TABLE B'!L$120</f>
        <v>145.43639999229188</v>
      </c>
      <c r="M104" s="101">
        <f>'Discontinued - OLDTABLE A'!L101/'Discontinued - TABLE B'!M$120</f>
        <v>144.98119999222902</v>
      </c>
      <c r="N104" s="43">
        <f>'Discontinued - OLDTABLE A'!H101/'Discontinued - TABLE B'!N$120</f>
        <v>148.23499999423368</v>
      </c>
      <c r="O104" s="92">
        <f>'Discontinued - OLDTABLE A'!H101/'Discontinued - TABLE B'!O$120</f>
        <v>148.23499999423368</v>
      </c>
      <c r="P104" s="101">
        <f>'Discontinued - OLDTABLE A'!P101/'Discontinued - TABLE B'!P$120</f>
        <v>143.25600000057304</v>
      </c>
      <c r="Q104" s="44">
        <f>'Discontinued - OLDTABLE A'!Q101/'Discontinued - TABLE B'!Q$120</f>
        <v>142.83059999448673</v>
      </c>
      <c r="R104" s="43"/>
      <c r="S104" s="34">
        <f>S$120*'Discontinued - OLDTABLE A'!S101</f>
        <v>232.19839999999999</v>
      </c>
      <c r="T104" s="100">
        <f>T$120*'Discontinued - OLDTABLE A'!T101</f>
        <v>310.38600000000002</v>
      </c>
      <c r="U104" s="137">
        <f>U$120*'Discontinued - OLDTABLE A'!U101</f>
        <v>330.37200000000001</v>
      </c>
      <c r="V104" s="96">
        <f>V$120*'Discontinued - OLDTABLE A'!V101</f>
        <v>348.51600000000002</v>
      </c>
      <c r="W104" s="37">
        <f>W$120*'Discontinued - OLDTABLE A'!W101</f>
        <v>220.87130000000002</v>
      </c>
      <c r="X104" s="100">
        <f>X$120*'Discontinued - OLDTABLE A'!X101</f>
        <v>255.3948</v>
      </c>
      <c r="Y104" s="137">
        <f>Y$120*'Discontinued - OLDTABLE A'!Y101</f>
        <v>216.7296</v>
      </c>
      <c r="Z104" s="34">
        <f>Z$120*'Discontinued - OLDTABLE A'!Z101</f>
        <v>437.99200000000002</v>
      </c>
      <c r="AA104" s="94">
        <f>AA$120*'Discontinued - OLDTABLE A'!AA101</f>
        <v>447.83249999999998</v>
      </c>
    </row>
    <row r="105" spans="1:27" x14ac:dyDescent="0.3">
      <c r="A105" s="134">
        <v>5</v>
      </c>
      <c r="B105" s="133">
        <v>2015</v>
      </c>
      <c r="C105" s="101">
        <f>'Discontinued - OLDTABLE A'!D102/'Discontinued - TABLE B'!C$120</f>
        <v>144.48719999476955</v>
      </c>
      <c r="D105" s="35">
        <f>'Discontinued - OLDTABLE A'!E102/'Discontinued - TABLE B'!D$120</f>
        <v>144.75360000231606</v>
      </c>
      <c r="E105" s="92">
        <f>'Discontinued - OLDTABLE A'!F102/'Discontinued - TABLE B'!E$120</f>
        <v>145.68120000329239</v>
      </c>
      <c r="F105" s="101">
        <f>'Discontinued - OLDTABLE A'!G102/'Discontinued - TABLE B'!F$120</f>
        <v>147.31800000942835</v>
      </c>
      <c r="G105" s="35">
        <f>'Discontinued - OLDTABLE A'!J102/'Discontinued - TABLE B'!G$120</f>
        <v>145.88580000711923</v>
      </c>
      <c r="H105" s="118">
        <f>'Discontinued - OLDTABLE A'!I102/'Discontinued - TABLE B'!H$120</f>
        <v>142.01130000176093</v>
      </c>
      <c r="I105" s="92"/>
      <c r="J105" s="35">
        <f>'Discontinued - OLDTABLE A'!M102/'Discontinued - TABLE B'!J$120</f>
        <v>147.08800000429497</v>
      </c>
      <c r="K105" s="97">
        <f>'Discontinued - OLDTABLE A'!N102/'Discontinued - TABLE B'!K$120</f>
        <v>142.68680000005708</v>
      </c>
      <c r="L105" s="43">
        <f>'Discontinued - OLDTABLE A'!O102/'Discontinued - TABLE B'!L$120</f>
        <v>145.81979999227156</v>
      </c>
      <c r="M105" s="101">
        <f>'Discontinued - OLDTABLE A'!L102/'Discontinued - TABLE B'!M$120</f>
        <v>145.23599999221537</v>
      </c>
      <c r="N105" s="43">
        <f>'Discontinued - OLDTABLE A'!H102/'Discontinued - TABLE B'!N$120</f>
        <v>148.62169999421863</v>
      </c>
      <c r="O105" s="92">
        <f>'Discontinued - OLDTABLE A'!H102/'Discontinued - TABLE B'!O$120</f>
        <v>148.62169999421863</v>
      </c>
      <c r="P105" s="101">
        <f>'Discontinued - OLDTABLE A'!P102/'Discontinued - TABLE B'!P$120</f>
        <v>143.51000000057405</v>
      </c>
      <c r="Q105" s="44">
        <f>'Discontinued - OLDTABLE A'!Q102/'Discontinued - TABLE B'!Q$120</f>
        <v>142.95599999448189</v>
      </c>
      <c r="R105" s="43"/>
      <c r="S105" s="34">
        <f>S$120*'Discontinued - OLDTABLE A'!S102</f>
        <v>228.79039999999998</v>
      </c>
      <c r="T105" s="100">
        <f>T$120*'Discontinued - OLDTABLE A'!T102</f>
        <v>305.18399999999997</v>
      </c>
      <c r="U105" s="137">
        <f>U$120*'Discontinued - OLDTABLE A'!U102</f>
        <v>327.79599999999999</v>
      </c>
      <c r="V105" s="96">
        <f>V$120*'Discontinued - OLDTABLE A'!V102</f>
        <v>352.66500000000002</v>
      </c>
      <c r="W105" s="37">
        <f>W$120*'Discontinued - OLDTABLE A'!W102</f>
        <v>221.25310000000002</v>
      </c>
      <c r="X105" s="100">
        <f>X$120*'Discontinued - OLDTABLE A'!X102</f>
        <v>255.3948</v>
      </c>
      <c r="Y105" s="137">
        <f>Y$120*'Discontinued - OLDTABLE A'!Y102</f>
        <v>216.53040000000001</v>
      </c>
      <c r="Z105" s="34">
        <f>Z$120*'Discontinued - OLDTABLE A'!Z102</f>
        <v>435.87200000000001</v>
      </c>
      <c r="AA105" s="94">
        <f>AA$120*'Discontinued - OLDTABLE A'!AA102</f>
        <v>448.67350000000005</v>
      </c>
    </row>
    <row r="106" spans="1:27" x14ac:dyDescent="0.3">
      <c r="A106" s="134">
        <v>6</v>
      </c>
      <c r="B106" s="133">
        <v>2015</v>
      </c>
      <c r="C106" s="101">
        <f>'Discontinued - OLDTABLE A'!D103/'Discontinued - TABLE B'!C$120</f>
        <v>144.99239999475125</v>
      </c>
      <c r="D106" s="35">
        <f>'Discontinued - OLDTABLE A'!E103/'Discontinued - TABLE B'!D$120</f>
        <v>145.38960000232623</v>
      </c>
      <c r="E106" s="92">
        <f>'Discontinued - OLDTABLE A'!F103/'Discontinued - TABLE B'!E$120</f>
        <v>146.44260000330959</v>
      </c>
      <c r="F106" s="101">
        <f>'Discontinued - OLDTABLE A'!G103/'Discontinued - TABLE B'!F$120</f>
        <v>148.35000000949441</v>
      </c>
      <c r="G106" s="35">
        <f>'Discontinued - OLDTABLE A'!J103/'Discontinued - TABLE B'!G$120</f>
        <v>146.26770000713788</v>
      </c>
      <c r="H106" s="118">
        <f>'Discontinued - OLDTABLE A'!I103/'Discontinued - TABLE B'!H$120</f>
        <v>142.38600000176558</v>
      </c>
      <c r="I106" s="92"/>
      <c r="J106" s="35">
        <f>'Discontinued - OLDTABLE A'!M103/'Discontinued - TABLE B'!J$120</f>
        <v>147.72200000431349</v>
      </c>
      <c r="K106" s="97">
        <f>'Discontinued - OLDTABLE A'!N103/'Discontinued - TABLE B'!K$120</f>
        <v>143.18440000005728</v>
      </c>
      <c r="L106" s="43">
        <f>'Discontinued - OLDTABLE A'!O103/'Discontinued - TABLE B'!L$120</f>
        <v>146.58659999223093</v>
      </c>
      <c r="M106" s="101">
        <f>'Discontinued - OLDTABLE A'!L103/'Discontinued - TABLE B'!M$120</f>
        <v>145.61819999219486</v>
      </c>
      <c r="N106" s="43">
        <f>'Discontinued - OLDTABLE A'!H103/'Discontinued - TABLE B'!N$120</f>
        <v>149.26619999419356</v>
      </c>
      <c r="O106" s="92">
        <f>'Discontinued - OLDTABLE A'!H103/'Discontinued - TABLE B'!O$120</f>
        <v>149.26619999419356</v>
      </c>
      <c r="P106" s="101">
        <f>'Discontinued - OLDTABLE A'!P103/'Discontinued - TABLE B'!P$120</f>
        <v>144.52600000057811</v>
      </c>
      <c r="Q106" s="44">
        <f>'Discontinued - OLDTABLE A'!Q103/'Discontinued - TABLE B'!Q$120</f>
        <v>143.83379999444801</v>
      </c>
      <c r="R106" s="43"/>
      <c r="S106" s="34">
        <f>S$120*'Discontinued - OLDTABLE A'!S103</f>
        <v>229.2448</v>
      </c>
      <c r="T106" s="100">
        <f>T$120*'Discontinued - OLDTABLE A'!T103</f>
        <v>304.31700000000001</v>
      </c>
      <c r="U106" s="137">
        <f>U$120*'Discontinued - OLDTABLE A'!U103</f>
        <v>331.66</v>
      </c>
      <c r="V106" s="96">
        <f>V$120*'Discontinued - OLDTABLE A'!V103</f>
        <v>365.52689999999996</v>
      </c>
      <c r="W106" s="37">
        <f>W$120*'Discontinued - OLDTABLE A'!W103</f>
        <v>221.25310000000002</v>
      </c>
      <c r="X106" s="100">
        <f>X$120*'Discontinued - OLDTABLE A'!X103</f>
        <v>256.05360000000002</v>
      </c>
      <c r="Y106" s="137">
        <f>Y$120*'Discontinued - OLDTABLE A'!Y103</f>
        <v>215.93280000000001</v>
      </c>
      <c r="Z106" s="34">
        <f>Z$120*'Discontinued - OLDTABLE A'!Z103</f>
        <v>456.22399999999999</v>
      </c>
      <c r="AA106" s="94">
        <f>AA$120*'Discontinued - OLDTABLE A'!AA103</f>
        <v>479.37</v>
      </c>
    </row>
    <row r="107" spans="1:27" x14ac:dyDescent="0.3">
      <c r="A107" s="134">
        <v>7</v>
      </c>
      <c r="B107" s="133">
        <v>2015</v>
      </c>
      <c r="C107" s="101">
        <f>'Discontinued - OLDTABLE A'!D104/'Discontinued - TABLE B'!C$120</f>
        <v>146.38169999470097</v>
      </c>
      <c r="D107" s="35">
        <f>'Discontinued - OLDTABLE A'!E104/'Discontinued - TABLE B'!D$120</f>
        <v>146.91600000235067</v>
      </c>
      <c r="E107" s="92">
        <f>'Discontinued - OLDTABLE A'!F104/'Discontinued - TABLE B'!E$120</f>
        <v>148.72680000336123</v>
      </c>
      <c r="F107" s="101">
        <f>'Discontinued - OLDTABLE A'!G104/'Discontinued - TABLE B'!F$120</f>
        <v>150.02700000960172</v>
      </c>
      <c r="G107" s="35">
        <f>'Discontinued - OLDTABLE A'!J104/'Discontinued - TABLE B'!G$120</f>
        <v>147.92260000721862</v>
      </c>
      <c r="H107" s="118">
        <f>'Discontinued - OLDTABLE A'!I104/'Discontinued - TABLE B'!H$120</f>
        <v>144.50930000179193</v>
      </c>
      <c r="I107" s="92"/>
      <c r="J107" s="35">
        <f>'Discontinued - OLDTABLE A'!M104/'Discontinued - TABLE B'!J$120</f>
        <v>149.37040000436161</v>
      </c>
      <c r="K107" s="97">
        <f>'Discontinued - OLDTABLE A'!N104/'Discontinued - TABLE B'!K$120</f>
        <v>144.42840000005776</v>
      </c>
      <c r="L107" s="43">
        <f>'Discontinued - OLDTABLE A'!O104/'Discontinued - TABLE B'!L$120</f>
        <v>148.24799999214287</v>
      </c>
      <c r="M107" s="101">
        <f>'Discontinued - OLDTABLE A'!L104/'Discontinued - TABLE B'!M$120</f>
        <v>147.01959999211977</v>
      </c>
      <c r="N107" s="43">
        <f>'Discontinued - OLDTABLE A'!H104/'Discontinued - TABLE B'!N$120</f>
        <v>150.55519999414341</v>
      </c>
      <c r="O107" s="92">
        <f>'Discontinued - OLDTABLE A'!H104/'Discontinued - TABLE B'!O$120</f>
        <v>150.55519999414341</v>
      </c>
      <c r="P107" s="101">
        <f>'Discontinued - OLDTABLE A'!P104/'Discontinued - TABLE B'!P$120</f>
        <v>145.41500000058167</v>
      </c>
      <c r="Q107" s="44">
        <f>'Discontinued - OLDTABLE A'!Q104/'Discontinued - TABLE B'!Q$120</f>
        <v>144.96239999440445</v>
      </c>
      <c r="R107" s="43"/>
      <c r="S107" s="34">
        <f>S$120*'Discontinued - OLDTABLE A'!S104</f>
        <v>228.79039999999998</v>
      </c>
      <c r="T107" s="100">
        <f>T$120*'Discontinued - OLDTABLE A'!T104</f>
        <v>304.60600000000005</v>
      </c>
      <c r="U107" s="137">
        <f>U$120*'Discontinued - OLDTABLE A'!U104</f>
        <v>326.18600000000004</v>
      </c>
      <c r="V107" s="96">
        <f>V$120*'Discontinued - OLDTABLE A'!V104</f>
        <v>362.20769999999999</v>
      </c>
      <c r="W107" s="37">
        <f>W$120*'Discontinued - OLDTABLE A'!W104</f>
        <v>221.63489999999999</v>
      </c>
      <c r="X107" s="100">
        <f>X$120*'Discontinued - OLDTABLE A'!X104</f>
        <v>257.37120000000004</v>
      </c>
      <c r="Y107" s="137">
        <f>Y$120*'Discontinued - OLDTABLE A'!Y104</f>
        <v>214.73759999999999</v>
      </c>
      <c r="Z107" s="34">
        <f>Z$120*'Discontinued - OLDTABLE A'!Z104</f>
        <v>457.92</v>
      </c>
      <c r="AA107" s="94">
        <f>AA$120*'Discontinued - OLDTABLE A'!AA104</f>
        <v>481.05200000000002</v>
      </c>
    </row>
    <row r="108" spans="1:27" x14ac:dyDescent="0.3">
      <c r="A108" s="134">
        <v>8</v>
      </c>
      <c r="B108" s="133">
        <v>2015</v>
      </c>
      <c r="C108" s="101">
        <f>'Discontinued - OLDTABLE A'!D105/'Discontinued - TABLE B'!C$120</f>
        <v>146.38169999470097</v>
      </c>
      <c r="D108" s="35">
        <f>'Discontinued - OLDTABLE A'!E105/'Discontinued - TABLE B'!D$120</f>
        <v>147.04320000235271</v>
      </c>
      <c r="E108" s="92">
        <f>'Discontinued - OLDTABLE A'!F105/'Discontinued - TABLE B'!E$120</f>
        <v>148.85370000336408</v>
      </c>
      <c r="F108" s="101">
        <f>'Discontinued - OLDTABLE A'!G105/'Discontinued - TABLE B'!F$120</f>
        <v>150.02700000960172</v>
      </c>
      <c r="G108" s="35">
        <f>'Discontinued - OLDTABLE A'!J105/'Discontinued - TABLE B'!G$120</f>
        <v>148.04990000722484</v>
      </c>
      <c r="H108" s="118">
        <f>'Discontinued - OLDTABLE A'!I105/'Discontinued - TABLE B'!H$120</f>
        <v>144.25950000178881</v>
      </c>
      <c r="I108" s="92"/>
      <c r="J108" s="35">
        <f>'Discontinued - OLDTABLE A'!M105/'Discontinued - TABLE B'!J$120</f>
        <v>149.37040000436161</v>
      </c>
      <c r="K108" s="97">
        <f>'Discontinued - OLDTABLE A'!N105/'Discontinued - TABLE B'!K$120</f>
        <v>144.55280000005783</v>
      </c>
      <c r="L108" s="43">
        <f>'Discontinued - OLDTABLE A'!O105/'Discontinued - TABLE B'!L$120</f>
        <v>148.24799999214287</v>
      </c>
      <c r="M108" s="101">
        <f>'Discontinued - OLDTABLE A'!L105/'Discontinued - TABLE B'!M$120</f>
        <v>147.27439999210608</v>
      </c>
      <c r="N108" s="43">
        <f>'Discontinued - OLDTABLE A'!H105/'Discontinued - TABLE B'!N$120</f>
        <v>150.68409999413839</v>
      </c>
      <c r="O108" s="92">
        <f>'Discontinued - OLDTABLE A'!H105/'Discontinued - TABLE B'!O$120</f>
        <v>150.68409999413839</v>
      </c>
      <c r="P108" s="101">
        <f>'Discontinued - OLDTABLE A'!P105/'Discontinued - TABLE B'!P$120</f>
        <v>145.54200000058216</v>
      </c>
      <c r="Q108" s="44">
        <f>'Discontinued - OLDTABLE A'!Q105/'Discontinued - TABLE B'!Q$120</f>
        <v>145.0877999943996</v>
      </c>
      <c r="R108" s="43"/>
      <c r="S108" s="34">
        <f>S$120*'Discontinued - OLDTABLE A'!S105</f>
        <v>229.69919999999996</v>
      </c>
      <c r="T108" s="100">
        <f>T$120*'Discontinued - OLDTABLE A'!T105</f>
        <v>306.34000000000003</v>
      </c>
      <c r="U108" s="137">
        <f>U$120*'Discontinued - OLDTABLE A'!U105</f>
        <v>325.86400000000003</v>
      </c>
      <c r="V108" s="96">
        <f>V$120*'Discontinued - OLDTABLE A'!V105</f>
        <v>339.38819999999998</v>
      </c>
      <c r="W108" s="37">
        <f>W$120*'Discontinued - OLDTABLE A'!W105</f>
        <v>222.01669999999999</v>
      </c>
      <c r="X108" s="100">
        <f>X$120*'Discontinued - OLDTABLE A'!X105</f>
        <v>258.68880000000001</v>
      </c>
      <c r="Y108" s="137">
        <f>Y$120*'Discontinued - OLDTABLE A'!Y105</f>
        <v>215.33519999999999</v>
      </c>
      <c r="Z108" s="34">
        <f>Z$120*'Discontinued - OLDTABLE A'!Z105</f>
        <v>428.24</v>
      </c>
      <c r="AA108" s="94">
        <f>AA$120*'Discontinued - OLDTABLE A'!AA105</f>
        <v>449.09399999999999</v>
      </c>
    </row>
    <row r="109" spans="1:27" x14ac:dyDescent="0.3">
      <c r="A109" s="134">
        <v>9</v>
      </c>
      <c r="B109" s="133">
        <v>2015</v>
      </c>
      <c r="C109" s="101">
        <f>'Discontinued - OLDTABLE A'!D106/'Discontinued - TABLE B'!C$120</f>
        <v>147.01319999467813</v>
      </c>
      <c r="D109" s="35">
        <f>'Discontinued - OLDTABLE A'!E106/'Discontinued - TABLE B'!D$120</f>
        <v>147.17040000235474</v>
      </c>
      <c r="E109" s="92">
        <f>'Discontinued - OLDTABLE A'!F106/'Discontinued - TABLE B'!E$120</f>
        <v>148.85370000336408</v>
      </c>
      <c r="F109" s="101">
        <f>'Discontinued - OLDTABLE A'!G106/'Discontinued - TABLE B'!F$120</f>
        <v>150.15600000960998</v>
      </c>
      <c r="G109" s="35">
        <f>'Discontinued - OLDTABLE A'!J106/'Discontinued - TABLE B'!G$120</f>
        <v>147.92260000721862</v>
      </c>
      <c r="H109" s="118">
        <f>'Discontinued - OLDTABLE A'!I106/'Discontinued - TABLE B'!H$120</f>
        <v>144.00970000178572</v>
      </c>
      <c r="I109" s="92"/>
      <c r="J109" s="35">
        <f>'Discontinued - OLDTABLE A'!M106/'Discontinued - TABLE B'!J$120</f>
        <v>149.37040000436161</v>
      </c>
      <c r="K109" s="97">
        <f>'Discontinued - OLDTABLE A'!N106/'Discontinued - TABLE B'!K$120</f>
        <v>144.67720000005787</v>
      </c>
      <c r="L109" s="43">
        <f>'Discontinued - OLDTABLE A'!O106/'Discontinued - TABLE B'!L$120</f>
        <v>147.99239999215641</v>
      </c>
      <c r="M109" s="101">
        <f>'Discontinued - OLDTABLE A'!L106/'Discontinued - TABLE B'!M$120</f>
        <v>146.89219999212659</v>
      </c>
      <c r="N109" s="43">
        <f>'Discontinued - OLDTABLE A'!H106/'Discontinued - TABLE B'!N$120</f>
        <v>150.55519999414341</v>
      </c>
      <c r="O109" s="92">
        <f>'Discontinued - OLDTABLE A'!H106/'Discontinued - TABLE B'!O$120</f>
        <v>150.55519999414341</v>
      </c>
      <c r="P109" s="101">
        <f>'Discontinued - OLDTABLE A'!P106/'Discontinued - TABLE B'!P$120</f>
        <v>145.28800000058118</v>
      </c>
      <c r="Q109" s="44">
        <f>'Discontinued - OLDTABLE A'!Q106/'Discontinued - TABLE B'!Q$120</f>
        <v>145.33859999438994</v>
      </c>
      <c r="R109" s="43"/>
      <c r="S109" s="34">
        <f>S$120*'Discontinued - OLDTABLE A'!S106</f>
        <v>228.56319999999997</v>
      </c>
      <c r="T109" s="100">
        <f>T$120*'Discontinued - OLDTABLE A'!T106</f>
        <v>305.47300000000001</v>
      </c>
      <c r="U109" s="137">
        <f>U$120*'Discontinued - OLDTABLE A'!U106</f>
        <v>315.88200000000001</v>
      </c>
      <c r="V109" s="96">
        <f>V$120*'Discontinued - OLDTABLE A'!V106</f>
        <v>326.94119999999998</v>
      </c>
      <c r="W109" s="37">
        <f>W$120*'Discontinued - OLDTABLE A'!W106</f>
        <v>224.11660000000001</v>
      </c>
      <c r="X109" s="100">
        <f>X$120*'Discontinued - OLDTABLE A'!X106</f>
        <v>259.78680000000003</v>
      </c>
      <c r="Y109" s="137">
        <f>Y$120*'Discontinued - OLDTABLE A'!Y106</f>
        <v>216.92880000000002</v>
      </c>
      <c r="Z109" s="34">
        <f>Z$120*'Discontinued - OLDTABLE A'!Z106</f>
        <v>407.04</v>
      </c>
      <c r="AA109" s="94">
        <f>AA$120*'Discontinued - OLDTABLE A'!AA106</f>
        <v>426.38700000000006</v>
      </c>
    </row>
    <row r="110" spans="1:27" x14ac:dyDescent="0.3">
      <c r="A110" s="134">
        <v>10</v>
      </c>
      <c r="B110" s="133">
        <v>2015</v>
      </c>
      <c r="C110" s="101">
        <f>'Discontinued - OLDTABLE A'!D107/'Discontinued - TABLE B'!C$120</f>
        <v>147.51839999465983</v>
      </c>
      <c r="D110" s="35">
        <f>'Discontinued - OLDTABLE A'!E107/'Discontinued - TABLE B'!D$120</f>
        <v>147.55200000236084</v>
      </c>
      <c r="E110" s="92">
        <f>'Discontinued - OLDTABLE A'!F107/'Discontinued - TABLE B'!E$120</f>
        <v>149.10750000336984</v>
      </c>
      <c r="F110" s="101">
        <f>'Discontinued - OLDTABLE A'!G107/'Discontinued - TABLE B'!F$120</f>
        <v>150.41400000962648</v>
      </c>
      <c r="G110" s="35">
        <f>'Discontinued - OLDTABLE A'!J107/'Discontinued - TABLE B'!G$120</f>
        <v>148.17720000723105</v>
      </c>
      <c r="H110" s="118">
        <f>'Discontinued - OLDTABLE A'!I107/'Discontinued - TABLE B'!H$120</f>
        <v>144.38440000179037</v>
      </c>
      <c r="I110" s="92"/>
      <c r="J110" s="35">
        <f>'Discontinued - OLDTABLE A'!M107/'Discontinued - TABLE B'!J$120</f>
        <v>149.62400000436901</v>
      </c>
      <c r="K110" s="97">
        <f>'Discontinued - OLDTABLE A'!N107/'Discontinued - TABLE B'!K$120</f>
        <v>145.17480000005807</v>
      </c>
      <c r="L110" s="43">
        <f>'Discontinued - OLDTABLE A'!O107/'Discontinued - TABLE B'!L$120</f>
        <v>148.24799999214287</v>
      </c>
      <c r="M110" s="101">
        <f>'Discontinued - OLDTABLE A'!L107/'Discontinued - TABLE B'!M$120</f>
        <v>147.01959999211977</v>
      </c>
      <c r="N110" s="43">
        <f>'Discontinued - OLDTABLE A'!H107/'Discontinued - TABLE B'!N$120</f>
        <v>150.68409999413839</v>
      </c>
      <c r="O110" s="92">
        <f>'Discontinued - OLDTABLE A'!H107/'Discontinued - TABLE B'!O$120</f>
        <v>150.68409999413839</v>
      </c>
      <c r="P110" s="101">
        <f>'Discontinued - OLDTABLE A'!P107/'Discontinued - TABLE B'!P$120</f>
        <v>145.28800000058118</v>
      </c>
      <c r="Q110" s="44">
        <f>'Discontinued - OLDTABLE A'!Q107/'Discontinued - TABLE B'!Q$120</f>
        <v>145.46399999438509</v>
      </c>
      <c r="R110" s="43"/>
      <c r="S110" s="34">
        <f>S$120*'Discontinued - OLDTABLE A'!S107</f>
        <v>229.2448</v>
      </c>
      <c r="T110" s="100">
        <f>T$120*'Discontinued - OLDTABLE A'!T107</f>
        <v>305.47300000000001</v>
      </c>
      <c r="U110" s="137">
        <f>U$120*'Discontinued - OLDTABLE A'!U107</f>
        <v>307.83199999999999</v>
      </c>
      <c r="V110" s="96">
        <f>V$120*'Discontinued - OLDTABLE A'!V107</f>
        <v>343.53719999999998</v>
      </c>
      <c r="W110" s="37">
        <f>W$120*'Discontinued - OLDTABLE A'!W107</f>
        <v>227.74369999999999</v>
      </c>
      <c r="X110" s="100">
        <f>X$120*'Discontinued - OLDTABLE A'!X107</f>
        <v>262.42200000000003</v>
      </c>
      <c r="Y110" s="137">
        <f>Y$120*'Discontinued - OLDTABLE A'!Y107</f>
        <v>218.5224</v>
      </c>
      <c r="Z110" s="34">
        <f>Z$120*'Discontinued - OLDTABLE A'!Z107</f>
        <v>430.36</v>
      </c>
      <c r="AA110" s="94">
        <f>AA$120*'Discontinued - OLDTABLE A'!AA107</f>
        <v>448.67350000000005</v>
      </c>
    </row>
    <row r="111" spans="1:27" x14ac:dyDescent="0.3">
      <c r="A111" s="134">
        <v>11</v>
      </c>
      <c r="B111" s="133">
        <v>2015</v>
      </c>
      <c r="C111" s="101">
        <f>'Discontinued - OLDTABLE A'!D108/'Discontinued - TABLE B'!C$120</f>
        <v>147.77099999465068</v>
      </c>
      <c r="D111" s="35">
        <f>'Discontinued - OLDTABLE A'!E108/'Discontinued - TABLE B'!D$120</f>
        <v>147.67920000236288</v>
      </c>
      <c r="E111" s="92">
        <f>'Discontinued - OLDTABLE A'!F108/'Discontinued - TABLE B'!E$120</f>
        <v>148.98060000336696</v>
      </c>
      <c r="F111" s="101">
        <f>'Discontinued - OLDTABLE A'!G108/'Discontinued - TABLE B'!F$120</f>
        <v>150.41400000962648</v>
      </c>
      <c r="G111" s="35">
        <f>'Discontinued - OLDTABLE A'!J108/'Discontinued - TABLE B'!G$120</f>
        <v>148.30450000723727</v>
      </c>
      <c r="H111" s="118">
        <f>'Discontinued - OLDTABLE A'!I108/'Discontinued - TABLE B'!H$120</f>
        <v>144.13460000178728</v>
      </c>
      <c r="I111" s="92"/>
      <c r="J111" s="35">
        <f>'Discontinued - OLDTABLE A'!M108/'Discontinued - TABLE B'!J$120</f>
        <v>149.62400000436901</v>
      </c>
      <c r="K111" s="97">
        <f>'Discontinued - OLDTABLE A'!N108/'Discontinued - TABLE B'!K$120</f>
        <v>145.29920000005811</v>
      </c>
      <c r="L111" s="43">
        <f>'Discontinued - OLDTABLE A'!O108/'Discontinued - TABLE B'!L$120</f>
        <v>148.37579999213608</v>
      </c>
      <c r="M111" s="101">
        <f>'Discontinued - OLDTABLE A'!L108/'Discontinued - TABLE B'!M$120</f>
        <v>147.27439999210608</v>
      </c>
      <c r="N111" s="43">
        <f>'Discontinued - OLDTABLE A'!H108/'Discontinued - TABLE B'!N$120</f>
        <v>150.94189999412836</v>
      </c>
      <c r="O111" s="92">
        <f>'Discontinued - OLDTABLE A'!H108/'Discontinued - TABLE B'!O$120</f>
        <v>150.94189999412836</v>
      </c>
      <c r="P111" s="101">
        <f>'Discontinued - OLDTABLE A'!P108/'Discontinued - TABLE B'!P$120</f>
        <v>145.79600000058318</v>
      </c>
      <c r="Q111" s="44">
        <f>'Discontinued - OLDTABLE A'!Q108/'Discontinued - TABLE B'!Q$120</f>
        <v>145.7147999943754</v>
      </c>
      <c r="R111" s="43"/>
      <c r="S111" s="34">
        <f>S$120*'Discontinued - OLDTABLE A'!S108</f>
        <v>229.2448</v>
      </c>
      <c r="T111" s="100">
        <f>T$120*'Discontinued - OLDTABLE A'!T108</f>
        <v>305.18399999999997</v>
      </c>
      <c r="U111" s="137">
        <f>U$120*'Discontinued - OLDTABLE A'!U108</f>
        <v>308.79800000000006</v>
      </c>
      <c r="V111" s="96">
        <f>V$120*'Discontinued - OLDTABLE A'!V108</f>
        <v>340.63290000000001</v>
      </c>
      <c r="W111" s="37">
        <f>W$120*'Discontinued - OLDTABLE A'!W108</f>
        <v>227.93460000000002</v>
      </c>
      <c r="X111" s="100">
        <f>X$120*'Discontinued - OLDTABLE A'!X108</f>
        <v>263.95920000000001</v>
      </c>
      <c r="Y111" s="137">
        <f>Y$120*'Discontinued - OLDTABLE A'!Y108</f>
        <v>219.3192</v>
      </c>
      <c r="Z111" s="34">
        <f>Z$120*'Discontinued - OLDTABLE A'!Z108</f>
        <v>426.54399999999998</v>
      </c>
      <c r="AA111" s="94">
        <f>AA$120*'Discontinued - OLDTABLE A'!AA108</f>
        <v>444.88900000000001</v>
      </c>
    </row>
    <row r="112" spans="1:27" x14ac:dyDescent="0.3">
      <c r="A112" s="134">
        <v>12</v>
      </c>
      <c r="B112" s="133">
        <v>2015</v>
      </c>
      <c r="C112" s="101">
        <f>'Discontinued - OLDTABLE A'!D109/'Discontinued - TABLE B'!C$120</f>
        <v>148.27619999463241</v>
      </c>
      <c r="D112" s="35">
        <f>'Discontinued - OLDTABLE A'!E109/'Discontinued - TABLE B'!D$120</f>
        <v>147.93360000236694</v>
      </c>
      <c r="E112" s="92">
        <f>'Discontinued - OLDTABLE A'!F109/'Discontinued - TABLE B'!E$120</f>
        <v>149.36130000337556</v>
      </c>
      <c r="F112" s="101">
        <f>'Discontinued - OLDTABLE A'!G109/'Discontinued - TABLE B'!F$120</f>
        <v>151.18800000967605</v>
      </c>
      <c r="G112" s="35">
        <f>'Discontinued - OLDTABLE A'!J109/'Discontinued - TABLE B'!G$120</f>
        <v>148.94100000726831</v>
      </c>
      <c r="H112" s="118">
        <f>'Discontinued - OLDTABLE A'!I109/'Discontinued - TABLE B'!H$120</f>
        <v>144.50930000179193</v>
      </c>
      <c r="I112" s="92"/>
      <c r="J112" s="35">
        <f>'Discontinued - OLDTABLE A'!M109/'Discontinued - TABLE B'!J$120</f>
        <v>150.13120000438383</v>
      </c>
      <c r="K112" s="97">
        <f>'Discontinued - OLDTABLE A'!N109/'Discontinued - TABLE B'!K$120</f>
        <v>145.79680000005831</v>
      </c>
      <c r="L112" s="43">
        <f>'Discontinued - OLDTABLE A'!O109/'Discontinued - TABLE B'!L$120</f>
        <v>148.75919999211578</v>
      </c>
      <c r="M112" s="101">
        <f>'Discontinued - OLDTABLE A'!L109/'Discontinued - TABLE B'!M$120</f>
        <v>147.91139999207195</v>
      </c>
      <c r="N112" s="43">
        <f>'Discontinued - OLDTABLE A'!H109/'Discontinued - TABLE B'!N$120</f>
        <v>151.71529999409827</v>
      </c>
      <c r="O112" s="92">
        <f>'Discontinued - OLDTABLE A'!H109/'Discontinued - TABLE B'!O$120</f>
        <v>151.71529999409827</v>
      </c>
      <c r="P112" s="101">
        <f>'Discontinued - OLDTABLE A'!P109/'Discontinued - TABLE B'!P$120</f>
        <v>146.17700000058471</v>
      </c>
      <c r="Q112" s="44">
        <f>'Discontinued - OLDTABLE A'!Q109/'Discontinued - TABLE B'!Q$120</f>
        <v>146.34179999435122</v>
      </c>
      <c r="R112" s="43"/>
      <c r="S112" s="34">
        <f>S$120*'Discontinued - OLDTABLE A'!S109</f>
        <v>228.56319999999997</v>
      </c>
      <c r="T112" s="100">
        <f>T$120*'Discontinued - OLDTABLE A'!T109</f>
        <v>306.34000000000003</v>
      </c>
      <c r="U112" s="137">
        <f>U$120*'Discontinued - OLDTABLE A'!U109</f>
        <v>314.27199999999999</v>
      </c>
      <c r="V112" s="96">
        <f>V$120*'Discontinued - OLDTABLE A'!V109</f>
        <v>339.80310000000003</v>
      </c>
      <c r="W112" s="37">
        <f>W$120*'Discontinued - OLDTABLE A'!W109</f>
        <v>227.93460000000002</v>
      </c>
      <c r="X112" s="100">
        <f>X$120*'Discontinued - OLDTABLE A'!X109</f>
        <v>264.17880000000002</v>
      </c>
      <c r="Y112" s="137">
        <f>Y$120*'Discontinued - OLDTABLE A'!Y109</f>
        <v>219.51840000000001</v>
      </c>
      <c r="Z112" s="34">
        <f>Z$120*'Discontinued - OLDTABLE A'!Z109</f>
        <v>425.69600000000003</v>
      </c>
      <c r="AA112" s="94">
        <f>AA$120*'Discontinued - OLDTABLE A'!AA109</f>
        <v>443.20700000000005</v>
      </c>
    </row>
    <row r="113" spans="1:27" x14ac:dyDescent="0.3">
      <c r="A113" s="134">
        <v>1</v>
      </c>
      <c r="B113" s="133">
        <v>2016</v>
      </c>
      <c r="C113" s="101">
        <f>'Discontinued - OLDTABLE A'!D110/'Discontinued - TABLE B'!C$120</f>
        <v>149.16029999460039</v>
      </c>
      <c r="D113" s="35">
        <f>'Discontinued - OLDTABLE A'!E110/'Discontinued - TABLE B'!D$120</f>
        <v>149.07840000238528</v>
      </c>
      <c r="E113" s="92">
        <f>'Discontinued - OLDTABLE A'!F110/'Discontinued - TABLE B'!E$120</f>
        <v>150.24960000339564</v>
      </c>
      <c r="F113" s="101">
        <f>'Discontinued - OLDTABLE A'!G110/'Discontinued - TABLE B'!F$120</f>
        <v>151.83300000971732</v>
      </c>
      <c r="G113" s="35">
        <f>'Discontinued - OLDTABLE A'!J110/'Discontinued - TABLE B'!G$120</f>
        <v>149.83210000731182</v>
      </c>
      <c r="H113" s="118">
        <f>'Discontinued - OLDTABLE A'!I110/'Discontinued - TABLE B'!H$120</f>
        <v>145.00890000179811</v>
      </c>
      <c r="I113" s="92"/>
      <c r="J113" s="35">
        <f>'Discontinued - OLDTABLE A'!M110/'Discontinued - TABLE B'!J$120</f>
        <v>151.27240000441714</v>
      </c>
      <c r="K113" s="97">
        <f>'Discontinued - OLDTABLE A'!N110/'Discontinued - TABLE B'!K$120</f>
        <v>146.91640000005876</v>
      </c>
      <c r="L113" s="43">
        <f>'Discontinued - OLDTABLE A'!O110/'Discontinued - TABLE B'!L$120</f>
        <v>150.16499999204126</v>
      </c>
      <c r="M113" s="101">
        <f>'Discontinued - OLDTABLE A'!L110/'Discontinued - TABLE B'!M$120</f>
        <v>149.05799999201051</v>
      </c>
      <c r="N113" s="43">
        <f>'Discontinued - OLDTABLE A'!H110/'Discontinued - TABLE B'!N$120</f>
        <v>153.51989999402807</v>
      </c>
      <c r="O113" s="92">
        <f>'Discontinued - OLDTABLE A'!H110/'Discontinued - TABLE B'!O$120</f>
        <v>153.51989999402807</v>
      </c>
      <c r="P113" s="101">
        <f>'Discontinued - OLDTABLE A'!P110/'Discontinued - TABLE B'!P$120</f>
        <v>147.95500000059184</v>
      </c>
      <c r="Q113" s="44">
        <f>'Discontinued - OLDTABLE A'!Q110/'Discontinued - TABLE B'!Q$120</f>
        <v>147.47039999430763</v>
      </c>
      <c r="R113" s="43"/>
      <c r="S113" s="34">
        <f>S$120*'Discontinued - OLDTABLE A'!S110</f>
        <v>234.9248</v>
      </c>
      <c r="T113" s="100">
        <f>T$120*'Discontinued - OLDTABLE A'!T110</f>
        <v>312.98700000000002</v>
      </c>
      <c r="U113" s="137">
        <f>U$120*'Discontinued - OLDTABLE A'!U110</f>
        <v>311.69600000000003</v>
      </c>
      <c r="V113" s="96">
        <f>V$120*'Discontinued - OLDTABLE A'!V110</f>
        <v>314.49419999999998</v>
      </c>
      <c r="W113" s="37">
        <f>W$120*'Discontinued - OLDTABLE A'!W110</f>
        <v>239.38860000000003</v>
      </c>
      <c r="X113" s="100">
        <f>X$120*'Discontinued - OLDTABLE A'!X110</f>
        <v>272.96280000000002</v>
      </c>
      <c r="Y113" s="137">
        <f>Y$120*'Discontinued - OLDTABLE A'!Y110</f>
        <v>226.09200000000001</v>
      </c>
      <c r="Z113" s="34">
        <f>Z$120*'Discontinued - OLDTABLE A'!Z110</f>
        <v>396.01600000000002</v>
      </c>
      <c r="AA113" s="94">
        <f>AA$120*'Discontinued - OLDTABLE A'!AA110</f>
        <v>411.24899999999997</v>
      </c>
    </row>
    <row r="114" spans="1:27" x14ac:dyDescent="0.3">
      <c r="A114" s="134">
        <v>2</v>
      </c>
      <c r="B114" s="133">
        <v>2016</v>
      </c>
      <c r="C114" s="101">
        <f>'Discontinued - OLDTABLE A'!D111/'Discontinued - TABLE B'!C$120</f>
        <v>150.80219999454096</v>
      </c>
      <c r="D114" s="35">
        <f>'Discontinued - OLDTABLE A'!E111/'Discontinued - TABLE B'!D$120</f>
        <v>151.49520000242393</v>
      </c>
      <c r="E114" s="92">
        <f>'Discontinued - OLDTABLE A'!F111/'Discontinued - TABLE B'!E$120</f>
        <v>152.66070000345013</v>
      </c>
      <c r="F114" s="101">
        <f>'Discontinued - OLDTABLE A'!G111/'Discontinued - TABLE B'!F$120</f>
        <v>153.38100000981638</v>
      </c>
      <c r="G114" s="35">
        <f>'Discontinued - OLDTABLE A'!J111/'Discontinued - TABLE B'!G$120</f>
        <v>152.37810000743607</v>
      </c>
      <c r="H114" s="118">
        <f>'Discontinued - OLDTABLE A'!I111/'Discontinued - TABLE B'!H$120</f>
        <v>146.88240000182134</v>
      </c>
      <c r="I114" s="92"/>
      <c r="J114" s="35">
        <f>'Discontinued - OLDTABLE A'!M111/'Discontinued - TABLE B'!J$120</f>
        <v>153.30120000447639</v>
      </c>
      <c r="K114" s="97">
        <f>'Discontinued - OLDTABLE A'!N111/'Discontinued - TABLE B'!K$120</f>
        <v>149.15560000005968</v>
      </c>
      <c r="L114" s="43">
        <f>'Discontinued - OLDTABLE A'!O111/'Discontinued - TABLE B'!L$120</f>
        <v>152.08199999193965</v>
      </c>
      <c r="M114" s="101">
        <f>'Discontinued - OLDTABLE A'!L111/'Discontinued - TABLE B'!M$120</f>
        <v>150.8415999919149</v>
      </c>
      <c r="N114" s="43">
        <f>'Discontinued - OLDTABLE A'!H111/'Discontinued - TABLE B'!N$120</f>
        <v>155.58229999394786</v>
      </c>
      <c r="O114" s="92">
        <f>'Discontinued - OLDTABLE A'!H111/'Discontinued - TABLE B'!O$120</f>
        <v>155.58229999394786</v>
      </c>
      <c r="P114" s="101">
        <f>'Discontinued - OLDTABLE A'!P111/'Discontinued - TABLE B'!P$120</f>
        <v>150.11400000060047</v>
      </c>
      <c r="Q114" s="44">
        <f>'Discontinued - OLDTABLE A'!Q111/'Discontinued - TABLE B'!Q$120</f>
        <v>149.22599999423988</v>
      </c>
      <c r="R114" s="43"/>
      <c r="S114" s="34">
        <f>S$120*'Discontinued - OLDTABLE A'!S111</f>
        <v>239.92319999999995</v>
      </c>
      <c r="T114" s="100">
        <f>T$120*'Discontinued - OLDTABLE A'!T111</f>
        <v>321.94600000000003</v>
      </c>
      <c r="U114" s="137">
        <f>U$120*'Discontinued - OLDTABLE A'!U111</f>
        <v>312.98400000000004</v>
      </c>
      <c r="V114" s="96">
        <f>V$120*'Discontinued - OLDTABLE A'!V111</f>
        <v>294.57900000000001</v>
      </c>
      <c r="W114" s="37">
        <f>W$120*'Discontinued - OLDTABLE A'!W111</f>
        <v>240.34310000000002</v>
      </c>
      <c r="X114" s="100">
        <f>X$120*'Discontinued - OLDTABLE A'!X111</f>
        <v>272.08440000000002</v>
      </c>
      <c r="Y114" s="137">
        <f>Y$120*'Discontinued - OLDTABLE A'!Y111</f>
        <v>227.28719999999998</v>
      </c>
      <c r="Z114" s="34">
        <f>Z$120*'Discontinued - OLDTABLE A'!Z111</f>
        <v>371.42399999999998</v>
      </c>
      <c r="AA114" s="94">
        <f>AA$120*'Discontinued - OLDTABLE A'!AA111</f>
        <v>384.75749999999999</v>
      </c>
    </row>
    <row r="115" spans="1:27" x14ac:dyDescent="0.3">
      <c r="A115" s="134">
        <v>3</v>
      </c>
      <c r="B115" s="133">
        <v>2016</v>
      </c>
      <c r="C115" s="101">
        <f>'Discontinued - OLDTABLE A'!D112/'Discontinued - TABLE B'!C$120</f>
        <v>152.06519999449523</v>
      </c>
      <c r="D115" s="35">
        <f>'Discontinued - OLDTABLE A'!E112/'Discontinued - TABLE B'!D$120</f>
        <v>152.76720000244427</v>
      </c>
      <c r="E115" s="92">
        <f>'Discontinued - OLDTABLE A'!F112/'Discontinued - TABLE B'!E$120</f>
        <v>153.80280000347594</v>
      </c>
      <c r="F115" s="101">
        <f>'Discontinued - OLDTABLE A'!G112/'Discontinued - TABLE B'!F$120</f>
        <v>154.41300000988244</v>
      </c>
      <c r="G115" s="35">
        <f>'Discontinued - OLDTABLE A'!J112/'Discontinued - TABLE B'!G$120</f>
        <v>153.39650000748574</v>
      </c>
      <c r="H115" s="118">
        <f>'Discontinued - OLDTABLE A'!I112/'Discontinued - TABLE B'!H$120</f>
        <v>148.00650000183529</v>
      </c>
      <c r="I115" s="92"/>
      <c r="J115" s="35">
        <f>'Discontinued - OLDTABLE A'!M112/'Discontinued - TABLE B'!J$120</f>
        <v>154.1888000045023</v>
      </c>
      <c r="K115" s="97">
        <f>'Discontinued - OLDTABLE A'!N112/'Discontinued - TABLE B'!K$120</f>
        <v>150.2752000000601</v>
      </c>
      <c r="L115" s="43">
        <f>'Discontinued - OLDTABLE A'!O112/'Discontinued - TABLE B'!L$120</f>
        <v>153.10439999188546</v>
      </c>
      <c r="M115" s="101">
        <f>'Discontinued - OLDTABLE A'!L112/'Discontinued - TABLE B'!M$120</f>
        <v>151.60599999187392</v>
      </c>
      <c r="N115" s="43">
        <f>'Discontinued - OLDTABLE A'!H112/'Discontinued - TABLE B'!N$120</f>
        <v>156.87129999389771</v>
      </c>
      <c r="O115" s="92">
        <f>'Discontinued - OLDTABLE A'!H112/'Discontinued - TABLE B'!O$120</f>
        <v>156.87129999389771</v>
      </c>
      <c r="P115" s="101">
        <f>'Discontinued - OLDTABLE A'!P112/'Discontinued - TABLE B'!P$120</f>
        <v>151.13000000060453</v>
      </c>
      <c r="Q115" s="44">
        <f>'Discontinued - OLDTABLE A'!Q112/'Discontinued - TABLE B'!Q$120</f>
        <v>150.60539999418663</v>
      </c>
      <c r="R115" s="43"/>
      <c r="S115" s="34">
        <f>S$120*'Discontinued - OLDTABLE A'!S112</f>
        <v>240.37759999999997</v>
      </c>
      <c r="T115" s="100">
        <f>T$120*'Discontinued - OLDTABLE A'!T112</f>
        <v>317.61100000000005</v>
      </c>
      <c r="U115" s="137">
        <f>U$120*'Discontinued - OLDTABLE A'!U112</f>
        <v>307.83199999999999</v>
      </c>
      <c r="V115" s="436" t="s">
        <v>105</v>
      </c>
      <c r="W115" s="37">
        <f>W$120*'Discontinued - OLDTABLE A'!W112</f>
        <v>242.82480000000001</v>
      </c>
      <c r="X115" s="100">
        <f>X$120*'Discontinued - OLDTABLE A'!X112</f>
        <v>274.93920000000003</v>
      </c>
      <c r="Y115" s="137">
        <f>Y$120*'Discontinued - OLDTABLE A'!Y112</f>
        <v>229.67759999999998</v>
      </c>
      <c r="Z115" s="437" t="s">
        <v>105</v>
      </c>
      <c r="AA115" s="438" t="s">
        <v>105</v>
      </c>
    </row>
    <row r="116" spans="1:27" x14ac:dyDescent="0.3">
      <c r="A116" s="134"/>
      <c r="B116" s="133"/>
      <c r="C116" s="101"/>
      <c r="D116" s="35"/>
      <c r="E116" s="92"/>
      <c r="F116" s="101"/>
      <c r="G116" s="35"/>
      <c r="H116" s="118"/>
      <c r="I116" s="92"/>
      <c r="J116" s="35"/>
      <c r="K116" s="97"/>
      <c r="L116" s="43"/>
      <c r="M116" s="101"/>
      <c r="N116" s="43"/>
      <c r="O116" s="92"/>
      <c r="P116" s="101"/>
      <c r="Q116" s="44"/>
      <c r="R116" s="43"/>
      <c r="S116" s="34"/>
      <c r="T116" s="100"/>
      <c r="U116" s="137"/>
      <c r="V116" s="96"/>
      <c r="W116" s="37"/>
      <c r="X116" s="100"/>
      <c r="Y116" s="137"/>
      <c r="Z116" s="34"/>
      <c r="AA116" s="94"/>
    </row>
    <row r="117" spans="1:27" ht="15.6" x14ac:dyDescent="0.3">
      <c r="A117" s="134"/>
      <c r="B117" s="133"/>
      <c r="C117" s="516" t="s">
        <v>106</v>
      </c>
      <c r="D117" s="517"/>
      <c r="E117" s="517"/>
      <c r="F117" s="517"/>
      <c r="G117" s="517"/>
      <c r="H117" s="517"/>
      <c r="I117" s="517"/>
      <c r="J117" s="517"/>
      <c r="K117" s="517"/>
      <c r="L117" s="517"/>
      <c r="M117" s="517"/>
      <c r="N117" s="517"/>
      <c r="O117" s="517"/>
      <c r="P117" s="517"/>
      <c r="Q117" s="517"/>
      <c r="R117" s="43"/>
      <c r="S117" s="516" t="s">
        <v>106</v>
      </c>
      <c r="T117" s="517"/>
      <c r="U117" s="517"/>
      <c r="V117" s="517"/>
      <c r="W117" s="517"/>
      <c r="X117" s="517"/>
      <c r="Y117" s="517"/>
      <c r="Z117" s="517"/>
      <c r="AA117" s="518"/>
    </row>
    <row r="118" spans="1:27" ht="15.75" hidden="1" customHeight="1" x14ac:dyDescent="0.3">
      <c r="A118" s="134"/>
      <c r="B118" s="133"/>
      <c r="C118" s="101"/>
      <c r="D118" s="35"/>
      <c r="E118" s="92"/>
      <c r="F118" s="101"/>
      <c r="G118" s="35"/>
      <c r="H118" s="118"/>
      <c r="I118" s="92"/>
      <c r="J118" s="35"/>
      <c r="K118" s="97"/>
      <c r="L118" s="43"/>
      <c r="M118" s="101"/>
      <c r="N118" s="43"/>
      <c r="O118" s="92"/>
      <c r="P118" s="101"/>
      <c r="Q118" s="44"/>
      <c r="R118" s="43"/>
      <c r="S118" s="34"/>
      <c r="T118" s="100"/>
      <c r="U118" s="137"/>
      <c r="V118" s="96"/>
      <c r="W118" s="37"/>
      <c r="X118" s="100"/>
      <c r="Y118" s="137"/>
      <c r="Z118" s="34"/>
      <c r="AA118" s="94"/>
    </row>
    <row r="119" spans="1:27" ht="15" hidden="1" thickBot="1" x14ac:dyDescent="0.35">
      <c r="A119" s="134"/>
      <c r="B119" s="133"/>
      <c r="C119" s="101"/>
      <c r="D119" s="35"/>
      <c r="E119" s="92"/>
      <c r="F119" s="101"/>
      <c r="G119" s="35"/>
      <c r="H119" s="118"/>
      <c r="I119" s="92"/>
      <c r="J119" s="35"/>
      <c r="K119" s="97"/>
      <c r="L119" s="43"/>
      <c r="M119" s="101"/>
      <c r="N119" s="43"/>
      <c r="O119" s="92"/>
      <c r="P119" s="101"/>
      <c r="Q119" s="44"/>
      <c r="R119" s="43"/>
      <c r="S119" s="34"/>
      <c r="T119" s="100"/>
      <c r="U119" s="137"/>
      <c r="V119" s="96"/>
      <c r="W119" s="37"/>
      <c r="X119" s="100"/>
      <c r="Y119" s="137"/>
      <c r="Z119" s="34"/>
      <c r="AA119" s="94"/>
    </row>
    <row r="120" spans="1:27" ht="15" hidden="1" thickBot="1" x14ac:dyDescent="0.35">
      <c r="A120" s="134"/>
      <c r="B120" s="133"/>
      <c r="C120" s="81">
        <v>0.79176563740000006</v>
      </c>
      <c r="D120" s="81">
        <v>0.78616352199999995</v>
      </c>
      <c r="E120" s="168">
        <v>0.78802206460000002</v>
      </c>
      <c r="F120" s="83">
        <v>0.77519379840000002</v>
      </c>
      <c r="G120" s="81">
        <v>0.78554595439999997</v>
      </c>
      <c r="H120" s="394">
        <v>0.8006405124</v>
      </c>
      <c r="I120" s="168"/>
      <c r="J120" s="81">
        <v>0.78864353310000002</v>
      </c>
      <c r="K120" s="167">
        <v>0.80385852089999998</v>
      </c>
      <c r="L120" s="82">
        <v>0.78247261349999997</v>
      </c>
      <c r="M120" s="83">
        <v>0.78492935639999994</v>
      </c>
      <c r="N120" s="166">
        <v>0.77579519009999998</v>
      </c>
      <c r="O120" s="168">
        <v>0.77579519009999998</v>
      </c>
      <c r="P120" s="83">
        <v>0.78740157479999995</v>
      </c>
      <c r="Q120" s="82">
        <v>0.79744816590000001</v>
      </c>
      <c r="R120" s="377"/>
      <c r="S120" s="85">
        <v>2.2719999999999998</v>
      </c>
      <c r="T120" s="116">
        <v>2.89</v>
      </c>
      <c r="U120" s="384">
        <v>3.22</v>
      </c>
      <c r="V120" s="86">
        <v>4.149</v>
      </c>
      <c r="W120" s="88">
        <v>1.909</v>
      </c>
      <c r="X120" s="86">
        <v>2.1960000000000002</v>
      </c>
      <c r="Y120" s="87">
        <v>1.992</v>
      </c>
      <c r="Z120" s="117">
        <v>4.24</v>
      </c>
      <c r="AA120" s="89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508" t="s">
        <v>110</v>
      </c>
      <c r="D124" s="509"/>
      <c r="E124" s="509"/>
      <c r="F124" s="509"/>
      <c r="G124" s="509"/>
      <c r="H124" s="509"/>
      <c r="I124" s="509"/>
      <c r="J124" s="509"/>
      <c r="K124" s="509"/>
      <c r="L124" s="509"/>
      <c r="M124" s="509"/>
      <c r="N124" s="509"/>
      <c r="O124" s="509"/>
      <c r="P124" s="509"/>
      <c r="Q124" s="509"/>
      <c r="R124" s="509"/>
      <c r="S124" s="509"/>
      <c r="T124" s="509"/>
      <c r="U124" s="509"/>
      <c r="V124" s="509"/>
      <c r="W124" s="509"/>
      <c r="X124" s="509"/>
      <c r="Y124" s="509"/>
      <c r="Z124" s="509"/>
      <c r="AA124" s="509"/>
    </row>
    <row r="125" spans="1:27" ht="15.6" x14ac:dyDescent="0.3">
      <c r="C125" s="508" t="s">
        <v>111</v>
      </c>
      <c r="D125" s="509"/>
      <c r="E125" s="509"/>
      <c r="F125" s="509"/>
      <c r="G125" s="509"/>
      <c r="H125" s="509"/>
      <c r="I125" s="509"/>
      <c r="J125" s="509"/>
      <c r="K125" s="509"/>
      <c r="L125" s="509"/>
      <c r="M125" s="509"/>
      <c r="N125" s="509"/>
      <c r="O125" s="509"/>
      <c r="P125" s="509"/>
      <c r="Q125" s="509"/>
      <c r="R125" s="509"/>
      <c r="S125" s="509"/>
      <c r="T125" s="509"/>
      <c r="U125" s="509"/>
      <c r="V125" s="509"/>
      <c r="W125" s="509"/>
      <c r="X125" s="509"/>
      <c r="Y125" s="509"/>
      <c r="Z125" s="509"/>
      <c r="AA125" s="509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style="373" customWidth="1"/>
    <col min="19" max="27" width="13.6640625" customWidth="1"/>
  </cols>
  <sheetData>
    <row r="1" spans="1:27" ht="17.399999999999999" x14ac:dyDescent="0.3">
      <c r="C1" s="131" t="s">
        <v>64</v>
      </c>
    </row>
    <row r="3" spans="1:27" ht="15.6" x14ac:dyDescent="0.3">
      <c r="C3" s="59" t="s">
        <v>46</v>
      </c>
      <c r="D3" s="10"/>
      <c r="E3" s="10"/>
      <c r="F3" s="10"/>
      <c r="G3" s="10"/>
      <c r="H3" s="10"/>
      <c r="I3" s="10"/>
      <c r="J3" s="10"/>
      <c r="K3" s="10"/>
      <c r="L3" s="10"/>
      <c r="M3" s="10"/>
      <c r="T3" s="59" t="s">
        <v>47</v>
      </c>
    </row>
    <row r="4" spans="1:27" ht="15" thickBot="1" x14ac:dyDescent="0.35"/>
    <row r="5" spans="1:27" ht="18" thickBot="1" x14ac:dyDescent="0.35">
      <c r="A5" s="1" t="s">
        <v>18</v>
      </c>
      <c r="B5" s="11"/>
      <c r="C5" s="14" t="s">
        <v>8</v>
      </c>
      <c r="D5" s="15" t="s">
        <v>36</v>
      </c>
      <c r="E5" s="16"/>
      <c r="F5" s="14" t="s">
        <v>9</v>
      </c>
      <c r="G5" s="510" t="s">
        <v>38</v>
      </c>
      <c r="H5" s="511"/>
      <c r="I5" s="512"/>
      <c r="J5" s="17"/>
      <c r="K5" s="17" t="s">
        <v>11</v>
      </c>
      <c r="L5" s="16"/>
      <c r="M5" s="17" t="s">
        <v>24</v>
      </c>
      <c r="N5" s="18" t="s">
        <v>37</v>
      </c>
      <c r="O5" s="16"/>
      <c r="P5" s="17" t="s">
        <v>12</v>
      </c>
      <c r="Q5" s="14" t="s">
        <v>13</v>
      </c>
      <c r="R5" s="374"/>
      <c r="S5" s="60" t="s">
        <v>61</v>
      </c>
      <c r="T5" s="61"/>
      <c r="U5" s="61"/>
      <c r="V5" s="62"/>
      <c r="W5" s="62"/>
      <c r="X5" s="62"/>
      <c r="Y5" s="62"/>
      <c r="Z5" s="13"/>
      <c r="AA5" s="12"/>
    </row>
    <row r="6" spans="1:27" ht="18" thickBot="1" x14ac:dyDescent="0.35">
      <c r="A6" s="19"/>
      <c r="B6" s="2"/>
      <c r="C6" s="22" t="s">
        <v>30</v>
      </c>
      <c r="D6" s="26" t="s">
        <v>25</v>
      </c>
      <c r="E6" s="25" t="s">
        <v>33</v>
      </c>
      <c r="F6" s="22" t="s">
        <v>10</v>
      </c>
      <c r="G6" s="26" t="s">
        <v>26</v>
      </c>
      <c r="H6" s="387" t="s">
        <v>0</v>
      </c>
      <c r="I6" s="378" t="s">
        <v>98</v>
      </c>
      <c r="J6" s="390" t="s">
        <v>19</v>
      </c>
      <c r="K6" s="28" t="s">
        <v>23</v>
      </c>
      <c r="L6" s="25" t="s">
        <v>23</v>
      </c>
      <c r="M6" s="22" t="s">
        <v>24</v>
      </c>
      <c r="N6" s="26" t="s">
        <v>2</v>
      </c>
      <c r="O6" s="25" t="s">
        <v>35</v>
      </c>
      <c r="P6" s="22" t="s">
        <v>27</v>
      </c>
      <c r="Q6" s="22" t="s">
        <v>3</v>
      </c>
      <c r="R6" s="375"/>
      <c r="S6" s="26" t="s">
        <v>48</v>
      </c>
      <c r="T6" s="47" t="s">
        <v>49</v>
      </c>
      <c r="U6" s="50" t="s">
        <v>49</v>
      </c>
      <c r="V6" s="31" t="s">
        <v>49</v>
      </c>
      <c r="W6" s="28" t="s">
        <v>49</v>
      </c>
      <c r="X6" s="47" t="s">
        <v>49</v>
      </c>
      <c r="Y6" s="50" t="s">
        <v>49</v>
      </c>
      <c r="Z6" s="45" t="s">
        <v>41</v>
      </c>
      <c r="AA6" s="30"/>
    </row>
    <row r="7" spans="1:27" ht="17.399999999999999" x14ac:dyDescent="0.3">
      <c r="A7" s="127" t="s">
        <v>62</v>
      </c>
      <c r="B7" s="128"/>
      <c r="C7" s="23" t="s">
        <v>31</v>
      </c>
      <c r="D7" s="27" t="s">
        <v>32</v>
      </c>
      <c r="E7" s="4"/>
      <c r="F7" s="23"/>
      <c r="G7" s="27"/>
      <c r="H7" s="388" t="s">
        <v>4</v>
      </c>
      <c r="I7" s="379" t="s">
        <v>99</v>
      </c>
      <c r="J7" s="391" t="s">
        <v>20</v>
      </c>
      <c r="K7" s="29" t="s">
        <v>34</v>
      </c>
      <c r="L7" s="4" t="s">
        <v>15</v>
      </c>
      <c r="M7" s="23" t="s">
        <v>55</v>
      </c>
      <c r="N7" s="27"/>
      <c r="O7" s="4"/>
      <c r="P7" s="23" t="s">
        <v>28</v>
      </c>
      <c r="Q7" s="23" t="s">
        <v>21</v>
      </c>
      <c r="R7" s="375"/>
      <c r="S7" s="27" t="s">
        <v>16</v>
      </c>
      <c r="T7" s="48" t="s">
        <v>39</v>
      </c>
      <c r="U7" s="51" t="s">
        <v>17</v>
      </c>
      <c r="V7" s="32" t="s">
        <v>40</v>
      </c>
      <c r="W7" s="29" t="s">
        <v>16</v>
      </c>
      <c r="X7" s="48" t="s">
        <v>39</v>
      </c>
      <c r="Y7" s="51" t="s">
        <v>17</v>
      </c>
      <c r="Z7" s="26" t="s">
        <v>49</v>
      </c>
      <c r="AA7" s="4" t="s">
        <v>49</v>
      </c>
    </row>
    <row r="8" spans="1:27" ht="18" thickBot="1" x14ac:dyDescent="0.35">
      <c r="A8" s="129" t="s">
        <v>63</v>
      </c>
      <c r="B8" s="130"/>
      <c r="C8" s="23"/>
      <c r="D8" s="27"/>
      <c r="E8" s="4"/>
      <c r="F8" s="23"/>
      <c r="G8" s="27"/>
      <c r="H8" s="388"/>
      <c r="I8" s="379"/>
      <c r="J8" s="391" t="s">
        <v>22</v>
      </c>
      <c r="K8" s="29"/>
      <c r="L8" s="4"/>
      <c r="M8" s="23"/>
      <c r="N8" s="27"/>
      <c r="O8" s="4"/>
      <c r="P8" s="23"/>
      <c r="Q8" s="23"/>
      <c r="R8" s="375"/>
      <c r="S8" s="27" t="s">
        <v>5</v>
      </c>
      <c r="T8" s="48" t="s">
        <v>5</v>
      </c>
      <c r="U8" s="51" t="s">
        <v>5</v>
      </c>
      <c r="V8" s="32" t="s">
        <v>29</v>
      </c>
      <c r="W8" s="29" t="s">
        <v>6</v>
      </c>
      <c r="X8" s="48" t="s">
        <v>6</v>
      </c>
      <c r="Y8" s="51" t="s">
        <v>6</v>
      </c>
      <c r="Z8" s="27" t="s">
        <v>1</v>
      </c>
      <c r="AA8" s="4" t="s">
        <v>7</v>
      </c>
    </row>
    <row r="9" spans="1:27" ht="18" thickBot="1" x14ac:dyDescent="0.35">
      <c r="A9" s="21"/>
      <c r="B9" s="46" t="s">
        <v>14</v>
      </c>
      <c r="C9" s="24"/>
      <c r="D9" s="7"/>
      <c r="E9" s="5"/>
      <c r="F9" s="106"/>
      <c r="G9" s="7"/>
      <c r="H9" s="389"/>
      <c r="I9" s="380"/>
      <c r="J9" s="392"/>
      <c r="K9" s="6"/>
      <c r="L9" s="5"/>
      <c r="M9" s="24"/>
      <c r="N9" s="108"/>
      <c r="O9" s="3"/>
      <c r="P9" s="24"/>
      <c r="Q9" s="24"/>
      <c r="R9" s="376"/>
      <c r="S9" s="7"/>
      <c r="T9" s="49"/>
      <c r="U9" s="52"/>
      <c r="V9" s="33"/>
      <c r="W9" s="6"/>
      <c r="X9" s="49"/>
      <c r="Y9" s="52"/>
      <c r="Z9" s="7"/>
      <c r="AA9" s="5"/>
    </row>
    <row r="10" spans="1:27" x14ac:dyDescent="0.3">
      <c r="A10" s="122">
        <v>1</v>
      </c>
      <c r="B10" s="132">
        <v>2008</v>
      </c>
      <c r="C10" s="111">
        <f>95.5*C71</f>
        <v>75.613618371699999</v>
      </c>
      <c r="D10" s="67">
        <f>95.5*D71</f>
        <v>75.078616350999994</v>
      </c>
      <c r="E10" s="123">
        <f>94.9*E71</f>
        <v>74.783293930540012</v>
      </c>
      <c r="F10" s="111">
        <f>94.9*F71</f>
        <v>73.565891468160004</v>
      </c>
      <c r="G10" s="67">
        <f>95.5*G71</f>
        <v>75.01963864519999</v>
      </c>
      <c r="H10" s="123">
        <f>95*H71</f>
        <v>76.060848677999999</v>
      </c>
      <c r="I10" s="114"/>
      <c r="J10" s="67">
        <f>95.4*J71</f>
        <v>75.236593057740009</v>
      </c>
      <c r="K10" s="115">
        <f>95.2*K71</f>
        <v>76.527331189679998</v>
      </c>
      <c r="L10" s="68">
        <f>95.6*L71</f>
        <v>74.804381850599995</v>
      </c>
      <c r="M10" s="67">
        <f>95*M71</f>
        <v>74.568288857999988</v>
      </c>
      <c r="N10" s="110">
        <f>95.5*N71</f>
        <v>74.088440730949998</v>
      </c>
      <c r="O10" s="114">
        <f>95.5*O71</f>
        <v>74.088440654549998</v>
      </c>
      <c r="P10" s="111">
        <f>95.5*P71</f>
        <v>75.196850393399998</v>
      </c>
      <c r="Q10" s="68">
        <f>95.8*Q71</f>
        <v>76.395534293219995</v>
      </c>
      <c r="R10" s="43"/>
      <c r="S10" s="39">
        <f>184.1/S71</f>
        <v>81.029929577464799</v>
      </c>
      <c r="T10" s="98"/>
      <c r="U10" s="135"/>
      <c r="V10" s="95">
        <f>304.1/V71</f>
        <v>73.294769824054001</v>
      </c>
      <c r="W10" s="40">
        <f>153.7/W71</f>
        <v>80.513357778941852</v>
      </c>
      <c r="X10" s="98"/>
      <c r="Y10" s="53"/>
      <c r="Z10" s="39">
        <f>287.7/Z71</f>
        <v>67.853773584905653</v>
      </c>
      <c r="AA10" s="90">
        <f>284.3/AA71</f>
        <v>67.609988109393583</v>
      </c>
    </row>
    <row r="11" spans="1:27" x14ac:dyDescent="0.3">
      <c r="A11" s="124">
        <v>2</v>
      </c>
      <c r="B11" s="133">
        <v>2008</v>
      </c>
      <c r="C11" s="101">
        <f>96*C71</f>
        <v>76.009501190400002</v>
      </c>
      <c r="D11" s="43">
        <f>96*D71</f>
        <v>75.471698111999999</v>
      </c>
      <c r="E11" s="118">
        <f>95.3*E71</f>
        <v>75.09850275638</v>
      </c>
      <c r="F11" s="101">
        <f>95.3*F71</f>
        <v>73.875968987519997</v>
      </c>
      <c r="G11" s="43">
        <f>96.2*G71</f>
        <v>75.569520813279993</v>
      </c>
      <c r="H11" s="118">
        <f>95.5*H71</f>
        <v>76.461168934200003</v>
      </c>
      <c r="I11" s="92"/>
      <c r="J11" s="43">
        <f>96.1*J71</f>
        <v>75.788643530909994</v>
      </c>
      <c r="K11" s="97">
        <f>95.9*K71</f>
        <v>77.090032154310009</v>
      </c>
      <c r="L11" s="44">
        <f>96.2*L71</f>
        <v>75.273865418699998</v>
      </c>
      <c r="M11" s="43">
        <f>95.7*M71</f>
        <v>75.117739407480002</v>
      </c>
      <c r="N11" s="35">
        <f>96.1*N71</f>
        <v>74.553917845490005</v>
      </c>
      <c r="O11" s="92">
        <f>96.1*O71</f>
        <v>74.553917768609992</v>
      </c>
      <c r="P11" s="101">
        <f>96.1*P71</f>
        <v>75.66929133827999</v>
      </c>
      <c r="Q11" s="44">
        <f>96.7*Q71</f>
        <v>77.113237642530009</v>
      </c>
      <c r="R11" s="43"/>
      <c r="S11" s="41">
        <f>186.8/S71</f>
        <v>82.218309859154942</v>
      </c>
      <c r="T11" s="99"/>
      <c r="U11" s="136"/>
      <c r="V11" s="96">
        <f>321.6/V71</f>
        <v>77.512653651482296</v>
      </c>
      <c r="W11" s="42">
        <f>161.4/W71</f>
        <v>84.546883184913568</v>
      </c>
      <c r="X11" s="99"/>
      <c r="Y11" s="54"/>
      <c r="Z11" s="41">
        <f>290.5/Z71</f>
        <v>68.514150943396217</v>
      </c>
      <c r="AA11" s="91">
        <f>287.1/AA71</f>
        <v>68.275862068965523</v>
      </c>
    </row>
    <row r="12" spans="1:27" x14ac:dyDescent="0.3">
      <c r="A12" s="124">
        <v>3</v>
      </c>
      <c r="B12" s="133">
        <v>2008</v>
      </c>
      <c r="C12" s="101">
        <f>97.5*C71</f>
        <v>77.197149646500009</v>
      </c>
      <c r="D12" s="43">
        <f>97.3*D71</f>
        <v>76.493710690599997</v>
      </c>
      <c r="E12" s="118">
        <f>96.8*E71</f>
        <v>76.28053585328</v>
      </c>
      <c r="F12" s="101">
        <f>96.4*F71</f>
        <v>74.728682165760006</v>
      </c>
      <c r="G12" s="43">
        <f>97.3*G71</f>
        <v>76.433621363119997</v>
      </c>
      <c r="H12" s="118">
        <f>96.6*H71</f>
        <v>77.341873497839998</v>
      </c>
      <c r="I12" s="92"/>
      <c r="J12" s="43">
        <f>97.7*J71</f>
        <v>77.050473183869997</v>
      </c>
      <c r="K12" s="97">
        <f>97.6*K71</f>
        <v>78.456591639839999</v>
      </c>
      <c r="L12" s="44">
        <f>97.7*L71</f>
        <v>76.447574338950005</v>
      </c>
      <c r="M12" s="43">
        <f>97.1*M71</f>
        <v>76.216640506439987</v>
      </c>
      <c r="N12" s="35">
        <f>97.6*N71</f>
        <v>75.717610631840003</v>
      </c>
      <c r="O12" s="92">
        <f>97.6*O71</f>
        <v>75.717610553759997</v>
      </c>
      <c r="P12" s="101">
        <f>97.1*P71</f>
        <v>76.456692913079991</v>
      </c>
      <c r="Q12" s="44">
        <f>97.8*Q71</f>
        <v>77.990430625019997</v>
      </c>
      <c r="R12" s="43"/>
      <c r="S12" s="41">
        <f>187.8/S71</f>
        <v>82.658450704225359</v>
      </c>
      <c r="T12" s="99"/>
      <c r="U12" s="136"/>
      <c r="V12" s="96">
        <f>367.6/V71</f>
        <v>88.599662569293812</v>
      </c>
      <c r="W12" s="42">
        <f>161.4/W71</f>
        <v>84.546883184913568</v>
      </c>
      <c r="X12" s="99"/>
      <c r="Y12" s="54"/>
      <c r="Z12" s="41">
        <f>321.4/Z71</f>
        <v>75.801886792452819</v>
      </c>
      <c r="AA12" s="91">
        <f>318.3/AA71</f>
        <v>75.695600475624261</v>
      </c>
    </row>
    <row r="13" spans="1:27" x14ac:dyDescent="0.3">
      <c r="A13" s="124">
        <v>4</v>
      </c>
      <c r="B13" s="133">
        <v>2008</v>
      </c>
      <c r="C13" s="101">
        <f>98.3*C71</f>
        <v>77.830562156420001</v>
      </c>
      <c r="D13" s="43">
        <f>97.9*D71</f>
        <v>76.965408803800003</v>
      </c>
      <c r="E13" s="118">
        <f>97.7*E71</f>
        <v>76.989755711420003</v>
      </c>
      <c r="F13" s="101">
        <f>97.5*F71</f>
        <v>75.581395344000001</v>
      </c>
      <c r="G13" s="43">
        <f>98*G71</f>
        <v>76.9835035312</v>
      </c>
      <c r="H13" s="118">
        <f>97.5*H71</f>
        <v>78.062449959000006</v>
      </c>
      <c r="I13" s="92"/>
      <c r="J13" s="43">
        <f>98.3*J71</f>
        <v>77.52365930373</v>
      </c>
      <c r="K13" s="97">
        <f>98.1*K71</f>
        <v>78.858520900289989</v>
      </c>
      <c r="L13" s="44">
        <f>98.2*L71</f>
        <v>76.838810645699994</v>
      </c>
      <c r="M13" s="43">
        <f>97.9*M71</f>
        <v>76.84458399156</v>
      </c>
      <c r="N13" s="35">
        <f>98.2*N71</f>
        <v>76.183087746380011</v>
      </c>
      <c r="O13" s="92">
        <f>98.2*O71</f>
        <v>76.183087667820004</v>
      </c>
      <c r="P13" s="101">
        <f>97.9*P71</f>
        <v>77.086614172919994</v>
      </c>
      <c r="Q13" s="44">
        <f>98.3*Q71</f>
        <v>78.389154707969993</v>
      </c>
      <c r="R13" s="43"/>
      <c r="S13" s="41">
        <f>191/S71</f>
        <v>84.066901408450718</v>
      </c>
      <c r="T13" s="99"/>
      <c r="U13" s="136"/>
      <c r="V13" s="96">
        <f>424.9/V71</f>
        <v>102.41021932995902</v>
      </c>
      <c r="W13" s="42">
        <f>161.4/W71</f>
        <v>84.546883184913568</v>
      </c>
      <c r="X13" s="99"/>
      <c r="Y13" s="54"/>
      <c r="Z13" s="41">
        <f>372.6/Z71</f>
        <v>87.877358490566039</v>
      </c>
      <c r="AA13" s="91">
        <f>369.5/AA71</f>
        <v>87.871581450653977</v>
      </c>
    </row>
    <row r="14" spans="1:27" x14ac:dyDescent="0.3">
      <c r="A14" s="124">
        <v>5</v>
      </c>
      <c r="B14" s="133">
        <v>2008</v>
      </c>
      <c r="C14" s="101">
        <f>98.8*C71</f>
        <v>78.226444975120003</v>
      </c>
      <c r="D14" s="43">
        <f>98.7*D71</f>
        <v>77.594339621399996</v>
      </c>
      <c r="E14" s="118">
        <f>98.5*E71</f>
        <v>77.620173363100008</v>
      </c>
      <c r="F14" s="101">
        <f>98.1*F71</f>
        <v>76.046511623040004</v>
      </c>
      <c r="G14" s="43">
        <f>98.6*G71</f>
        <v>77.454831103839993</v>
      </c>
      <c r="H14" s="118">
        <f>98.3*H71</f>
        <v>78.702962368919998</v>
      </c>
      <c r="I14" s="92"/>
      <c r="J14" s="43">
        <f>98.9*J71</f>
        <v>77.996845423590003</v>
      </c>
      <c r="K14" s="97">
        <f>98.7*K71</f>
        <v>79.340836012829996</v>
      </c>
      <c r="L14" s="44">
        <f>99.1*L71</f>
        <v>77.543035997849998</v>
      </c>
      <c r="M14" s="43">
        <f>98.6*M71</f>
        <v>77.394034541039986</v>
      </c>
      <c r="N14" s="35">
        <f>98.9*N71</f>
        <v>76.726144380010012</v>
      </c>
      <c r="O14" s="92">
        <f>98.9*O71</f>
        <v>76.726144300889999</v>
      </c>
      <c r="P14" s="101">
        <f>98.4*P71</f>
        <v>77.480314960320001</v>
      </c>
      <c r="Q14" s="44">
        <f>99.2*Q71</f>
        <v>79.106858057280007</v>
      </c>
      <c r="R14" s="43"/>
      <c r="S14" s="41">
        <f>199/S71</f>
        <v>87.588028169014095</v>
      </c>
      <c r="T14" s="99"/>
      <c r="U14" s="136"/>
      <c r="V14" s="96">
        <f>471/V71</f>
        <v>113.52133044107013</v>
      </c>
      <c r="W14" s="42">
        <f>168.3/W71</f>
        <v>88.161341016238879</v>
      </c>
      <c r="X14" s="99"/>
      <c r="Y14" s="54"/>
      <c r="Z14" s="41">
        <f>400.4/Z71</f>
        <v>94.433962264150935</v>
      </c>
      <c r="AA14" s="91">
        <f>397.9/AA71</f>
        <v>94.625445897740775</v>
      </c>
    </row>
    <row r="15" spans="1:27" x14ac:dyDescent="0.3">
      <c r="A15" s="124">
        <v>6</v>
      </c>
      <c r="B15" s="133">
        <v>2008</v>
      </c>
      <c r="C15" s="101">
        <f>99.8*C71</f>
        <v>79.018210612520008</v>
      </c>
      <c r="D15" s="43">
        <f>99.9*D71</f>
        <v>78.537735847799993</v>
      </c>
      <c r="E15" s="118">
        <f>100.3*E71</f>
        <v>79.038613079379999</v>
      </c>
      <c r="F15" s="101">
        <f>99.4*F71</f>
        <v>77.05426356096001</v>
      </c>
      <c r="G15" s="43">
        <f>100.1*G71</f>
        <v>78.633150035439996</v>
      </c>
      <c r="H15" s="118">
        <f>100.1*H71</f>
        <v>80.144115291239999</v>
      </c>
      <c r="I15" s="92"/>
      <c r="J15" s="43">
        <f>100.1*J71</f>
        <v>78.943217663309994</v>
      </c>
      <c r="K15" s="97">
        <f>100.4*K71</f>
        <v>80.70739549836</v>
      </c>
      <c r="L15" s="44">
        <f>100.5*L71</f>
        <v>78.63849765674999</v>
      </c>
      <c r="M15" s="43">
        <f>100*M71</f>
        <v>78.492935639999999</v>
      </c>
      <c r="N15" s="35">
        <f>99.8*N71</f>
        <v>77.424360051820003</v>
      </c>
      <c r="O15" s="92">
        <f>99.8*O71</f>
        <v>77.424359971979996</v>
      </c>
      <c r="P15" s="101">
        <f>99.9*P71</f>
        <v>78.661417322519995</v>
      </c>
      <c r="Q15" s="44">
        <f>100.2*Q71</f>
        <v>79.904306223180001</v>
      </c>
      <c r="R15" s="43"/>
      <c r="S15" s="41">
        <f>201.8/S71</f>
        <v>88.820422535211279</v>
      </c>
      <c r="T15" s="99"/>
      <c r="U15" s="136"/>
      <c r="V15" s="96">
        <f>519.9/V71</f>
        <v>125.30730296456977</v>
      </c>
      <c r="W15" s="42">
        <f>168.3/W71</f>
        <v>88.161341016238879</v>
      </c>
      <c r="X15" s="99"/>
      <c r="Y15" s="54"/>
      <c r="Z15" s="41">
        <f>428.5/Z71</f>
        <v>101.06132075471697</v>
      </c>
      <c r="AA15" s="91">
        <f>426.3/AA71</f>
        <v>101.37931034482759</v>
      </c>
    </row>
    <row r="16" spans="1:27" x14ac:dyDescent="0.3">
      <c r="A16" s="124">
        <v>7</v>
      </c>
      <c r="B16" s="133">
        <v>2008</v>
      </c>
      <c r="C16" s="101">
        <f>101.2*C71</f>
        <v>80.126682504880009</v>
      </c>
      <c r="D16" s="43">
        <f>101.2*D71</f>
        <v>79.559748426399992</v>
      </c>
      <c r="E16" s="118">
        <f>101.6*E71</f>
        <v>80.06304176335999</v>
      </c>
      <c r="F16" s="101">
        <f>101.7*F71</f>
        <v>78.837209297279998</v>
      </c>
      <c r="G16" s="43">
        <f>101.2*G71</f>
        <v>79.49725058528</v>
      </c>
      <c r="H16" s="118">
        <f>101.9*H71</f>
        <v>81.585268213559999</v>
      </c>
      <c r="I16" s="92"/>
      <c r="J16" s="43">
        <f>101.3*J71</f>
        <v>79.88958990303</v>
      </c>
      <c r="K16" s="97">
        <f>101.5*K71</f>
        <v>81.591639871349997</v>
      </c>
      <c r="L16" s="44">
        <f>102*L71</f>
        <v>79.812206576999998</v>
      </c>
      <c r="M16" s="43">
        <f>101.1*M71</f>
        <v>79.356357932039984</v>
      </c>
      <c r="N16" s="35">
        <f>101*N71</f>
        <v>78.355314280900004</v>
      </c>
      <c r="O16" s="92">
        <f>101*O71</f>
        <v>78.355314200099997</v>
      </c>
      <c r="P16" s="101">
        <f>101.3*P71</f>
        <v>79.76377952723999</v>
      </c>
      <c r="Q16" s="44">
        <f>101.4*Q71</f>
        <v>80.86124402226001</v>
      </c>
      <c r="R16" s="43"/>
      <c r="S16" s="41">
        <f>203.9/S71</f>
        <v>89.744718309859167</v>
      </c>
      <c r="T16" s="99"/>
      <c r="U16" s="136"/>
      <c r="V16" s="96">
        <f>511.9/V71</f>
        <v>123.37912750060255</v>
      </c>
      <c r="W16" s="42">
        <f>168.3/W71</f>
        <v>88.161341016238879</v>
      </c>
      <c r="X16" s="99"/>
      <c r="Y16" s="54"/>
      <c r="Z16" s="41">
        <f>453.5/Z71</f>
        <v>106.95754716981132</v>
      </c>
      <c r="AA16" s="91">
        <f>451.5/AA71</f>
        <v>107.37217598097503</v>
      </c>
    </row>
    <row r="17" spans="1:27" x14ac:dyDescent="0.3">
      <c r="A17" s="124">
        <v>8</v>
      </c>
      <c r="B17" s="133">
        <v>2008</v>
      </c>
      <c r="C17" s="101">
        <f>101.8*C71</f>
        <v>80.601741887320003</v>
      </c>
      <c r="D17" s="43">
        <f>101.8*D71</f>
        <v>80.031446539599997</v>
      </c>
      <c r="E17" s="118">
        <f>102.4*E71</f>
        <v>80.69345941504001</v>
      </c>
      <c r="F17" s="101">
        <f>102.7*F71</f>
        <v>79.612403095680008</v>
      </c>
      <c r="G17" s="43">
        <f>101.8*G71</f>
        <v>79.968578157919993</v>
      </c>
      <c r="H17" s="118">
        <f>102.5*H71</f>
        <v>82.065652521000004</v>
      </c>
      <c r="I17" s="92"/>
      <c r="J17" s="43">
        <f>101.5*J71</f>
        <v>80.047318609650006</v>
      </c>
      <c r="K17" s="97">
        <f>102.1*K71</f>
        <v>82.07395498388999</v>
      </c>
      <c r="L17" s="44">
        <f>102.3*L71</f>
        <v>80.046948361049999</v>
      </c>
      <c r="M17" s="43">
        <f>102.1*M71</f>
        <v>80.141287288439983</v>
      </c>
      <c r="N17" s="35">
        <f>101.7*N71</f>
        <v>78.898370914530005</v>
      </c>
      <c r="O17" s="92">
        <f>101.7*O71</f>
        <v>78.898370833170006</v>
      </c>
      <c r="P17" s="101">
        <f>101.6*P71</f>
        <v>79.999999999679986</v>
      </c>
      <c r="Q17" s="44">
        <f>101.8*Q71</f>
        <v>81.180223288619999</v>
      </c>
      <c r="R17" s="43"/>
      <c r="S17" s="41">
        <f>217.3/S71</f>
        <v>95.64260563380283</v>
      </c>
      <c r="T17" s="99"/>
      <c r="U17" s="136"/>
      <c r="V17" s="96">
        <f>419.9/V71</f>
        <v>101.2051096649795</v>
      </c>
      <c r="W17" s="42">
        <f>175.4/W71</f>
        <v>91.88056574122578</v>
      </c>
      <c r="X17" s="99"/>
      <c r="Y17" s="54"/>
      <c r="Z17" s="41">
        <f>447.1/Z71</f>
        <v>105.44811320754717</v>
      </c>
      <c r="AA17" s="91">
        <f>444.7/AA71</f>
        <v>105.75505350772889</v>
      </c>
    </row>
    <row r="18" spans="1:27" x14ac:dyDescent="0.3">
      <c r="A18" s="124">
        <v>9</v>
      </c>
      <c r="B18" s="133">
        <v>2008</v>
      </c>
      <c r="C18" s="101">
        <f>102.6*C71</f>
        <v>81.235154397239995</v>
      </c>
      <c r="D18" s="43">
        <f>102.9*D71</f>
        <v>80.896226413799994</v>
      </c>
      <c r="E18" s="118">
        <f>103*E71</f>
        <v>81.166272653800007</v>
      </c>
      <c r="F18" s="101">
        <f>103.1*F71</f>
        <v>79.922480615040001</v>
      </c>
      <c r="G18" s="43">
        <f>102.6*G71</f>
        <v>80.597014921439992</v>
      </c>
      <c r="H18" s="118">
        <f>102.8*H71</f>
        <v>82.305844674719992</v>
      </c>
      <c r="I18" s="92"/>
      <c r="J18" s="43">
        <f>102.5*J71</f>
        <v>80.835962142750006</v>
      </c>
      <c r="K18" s="97">
        <f>102.5*K71</f>
        <v>82.395498392250005</v>
      </c>
      <c r="L18" s="44">
        <f>102*L71</f>
        <v>79.812206576999998</v>
      </c>
      <c r="M18" s="43">
        <f>103*M71</f>
        <v>80.847723709199997</v>
      </c>
      <c r="N18" s="35">
        <f>102.6*N71</f>
        <v>79.596586586339996</v>
      </c>
      <c r="O18" s="92">
        <f>102.6*O71</f>
        <v>79.596586504259989</v>
      </c>
      <c r="P18" s="101">
        <f>102.8*P71</f>
        <v>80.944881889439998</v>
      </c>
      <c r="Q18" s="44">
        <f>102*Q71</f>
        <v>81.3397129218</v>
      </c>
      <c r="R18" s="43"/>
      <c r="S18" s="41">
        <f>218.8/S71</f>
        <v>96.302816901408463</v>
      </c>
      <c r="T18" s="99"/>
      <c r="U18" s="136"/>
      <c r="V18" s="96">
        <f>394.3/V71</f>
        <v>95.034948180284402</v>
      </c>
      <c r="W18" s="42">
        <f>175.4/W71</f>
        <v>91.88056574122578</v>
      </c>
      <c r="X18" s="99"/>
      <c r="Y18" s="54"/>
      <c r="Z18" s="41">
        <f>390/Z71</f>
        <v>91.981132075471692</v>
      </c>
      <c r="AA18" s="91">
        <f>387.1/AA71</f>
        <v>92.057074910820461</v>
      </c>
    </row>
    <row r="19" spans="1:27" x14ac:dyDescent="0.3">
      <c r="A19" s="124">
        <v>10</v>
      </c>
      <c r="B19" s="133">
        <v>2008</v>
      </c>
      <c r="C19" s="101">
        <f>102.9*C71</f>
        <v>81.472684088460014</v>
      </c>
      <c r="D19" s="43">
        <f>103.2*D71</f>
        <v>81.132075470399997</v>
      </c>
      <c r="E19" s="118">
        <f>103.2*E71</f>
        <v>81.323877066720001</v>
      </c>
      <c r="F19" s="101">
        <f>103.6*F71</f>
        <v>80.310077514239993</v>
      </c>
      <c r="G19" s="43">
        <f>102.8*G71</f>
        <v>80.75412411232</v>
      </c>
      <c r="H19" s="118">
        <f>103.2*H71</f>
        <v>82.626100879679996</v>
      </c>
      <c r="I19" s="92"/>
      <c r="J19" s="43">
        <f>102.8*J71</f>
        <v>81.072555202679993</v>
      </c>
      <c r="K19" s="97">
        <f>102.6*K71</f>
        <v>82.475884244339994</v>
      </c>
      <c r="L19" s="44">
        <f>102.4*L71</f>
        <v>80.1251956224</v>
      </c>
      <c r="M19" s="43">
        <f>103.2*M71</f>
        <v>81.004709580479997</v>
      </c>
      <c r="N19" s="35">
        <f>102.8*N71</f>
        <v>79.751745624519998</v>
      </c>
      <c r="O19" s="92">
        <f>102.8*O71</f>
        <v>79.751745542279991</v>
      </c>
      <c r="P19" s="101">
        <f>103.1*P71</f>
        <v>81.181102361879994</v>
      </c>
      <c r="Q19" s="44">
        <f>102.3*Q71</f>
        <v>81.578947371569996</v>
      </c>
      <c r="R19" s="43"/>
      <c r="S19" s="41">
        <f>219.6/S71</f>
        <v>96.654929577464799</v>
      </c>
      <c r="T19" s="99"/>
      <c r="U19" s="136"/>
      <c r="V19" s="96">
        <f>377.4/V71</f>
        <v>90.961677512653651</v>
      </c>
      <c r="W19" s="42">
        <f>175.4/W71</f>
        <v>91.88056574122578</v>
      </c>
      <c r="X19" s="99"/>
      <c r="Y19" s="54"/>
      <c r="Z19" s="41">
        <f>367.8/Z71</f>
        <v>86.745283018867923</v>
      </c>
      <c r="AA19" s="91">
        <f>364.7/AA71</f>
        <v>86.730083234244944</v>
      </c>
    </row>
    <row r="20" spans="1:27" x14ac:dyDescent="0.3">
      <c r="A20" s="124">
        <v>11</v>
      </c>
      <c r="B20" s="133">
        <v>2008</v>
      </c>
      <c r="C20" s="101">
        <f>102.9*C71</f>
        <v>81.472684088460014</v>
      </c>
      <c r="D20" s="43">
        <f>103.2*D71</f>
        <v>81.132075470399997</v>
      </c>
      <c r="E20" s="118">
        <f>103.3*E71</f>
        <v>81.402679273179999</v>
      </c>
      <c r="F20" s="101">
        <f>103.7*F71</f>
        <v>80.387596894080005</v>
      </c>
      <c r="G20" s="43">
        <f>103*G71</f>
        <v>80.911233303199992</v>
      </c>
      <c r="H20" s="118">
        <f>103.2*H71</f>
        <v>82.626100879679996</v>
      </c>
      <c r="I20" s="92"/>
      <c r="J20" s="43">
        <f>102.9*J71</f>
        <v>81.151419555990003</v>
      </c>
      <c r="K20" s="97">
        <f>102.7*K71</f>
        <v>82.556270096429998</v>
      </c>
      <c r="L20" s="44">
        <f>102.3*L71</f>
        <v>80.046948361049999</v>
      </c>
      <c r="M20" s="43">
        <f>103.3*M71</f>
        <v>81.083202516119997</v>
      </c>
      <c r="N20" s="35">
        <f>102.9*N71</f>
        <v>79.829325143610006</v>
      </c>
      <c r="O20" s="92">
        <f>102.9*O71</f>
        <v>79.829325061290007</v>
      </c>
      <c r="P20" s="101">
        <f>103.3*P71</f>
        <v>81.338582676839991</v>
      </c>
      <c r="Q20" s="44">
        <f>102.5*Q71</f>
        <v>81.738437004749997</v>
      </c>
      <c r="R20" s="43"/>
      <c r="S20" s="41">
        <f>219.2/S71</f>
        <v>96.478873239436624</v>
      </c>
      <c r="T20" s="99"/>
      <c r="U20" s="136"/>
      <c r="V20" s="96">
        <f>336.8/V71</f>
        <v>81.176187033020014</v>
      </c>
      <c r="W20" s="42">
        <f>184.8/W71</f>
        <v>96.804609743321109</v>
      </c>
      <c r="X20" s="99"/>
      <c r="Y20" s="54"/>
      <c r="Z20" s="41">
        <f>358.2/Z71</f>
        <v>84.481132075471692</v>
      </c>
      <c r="AA20" s="91">
        <f>355.1/AA71</f>
        <v>84.447086801426877</v>
      </c>
    </row>
    <row r="21" spans="1:27" x14ac:dyDescent="0.3">
      <c r="A21" s="124">
        <v>12</v>
      </c>
      <c r="B21" s="133">
        <v>2008</v>
      </c>
      <c r="C21" s="101">
        <f>102.8*C71</f>
        <v>81.393507524720007</v>
      </c>
      <c r="D21" s="43">
        <f>102.6*D71</f>
        <v>80.660377357199991</v>
      </c>
      <c r="E21" s="118">
        <f>103.2*E71</f>
        <v>81.323877066720001</v>
      </c>
      <c r="F21" s="101">
        <f>103.5*F71</f>
        <v>80.232558134400008</v>
      </c>
      <c r="G21" s="43">
        <f>102.9*G71</f>
        <v>80.832678707759996</v>
      </c>
      <c r="H21" s="118">
        <f>103.3*H71</f>
        <v>82.706164930919996</v>
      </c>
      <c r="I21" s="92"/>
      <c r="J21" s="43">
        <f>102.5*J71</f>
        <v>80.835962142750006</v>
      </c>
      <c r="K21" s="97">
        <f>102.6*K71</f>
        <v>82.475884244339994</v>
      </c>
      <c r="L21" s="44">
        <f>101.8*L71</f>
        <v>79.655712054299997</v>
      </c>
      <c r="M21" s="43">
        <f>103.2*M71</f>
        <v>81.004709580479997</v>
      </c>
      <c r="N21" s="35">
        <f>102.9*N71</f>
        <v>79.829325143610006</v>
      </c>
      <c r="O21" s="92">
        <f>102.9*O71</f>
        <v>79.829325061290007</v>
      </c>
      <c r="P21" s="101">
        <f>103*P71</f>
        <v>81.102362204399995</v>
      </c>
      <c r="Q21" s="44">
        <f>102*Q71</f>
        <v>81.3397129218</v>
      </c>
      <c r="R21" s="43"/>
      <c r="S21" s="41">
        <f>216.6/S71</f>
        <v>95.33450704225352</v>
      </c>
      <c r="T21" s="99"/>
      <c r="U21" s="136"/>
      <c r="V21" s="96">
        <f>274.3/V71</f>
        <v>66.112316220776094</v>
      </c>
      <c r="W21" s="42">
        <f>184.8/W71</f>
        <v>96.804609743321109</v>
      </c>
      <c r="X21" s="99"/>
      <c r="Y21" s="54"/>
      <c r="Z21" s="41">
        <f>326.1/Z71</f>
        <v>76.910377358490564</v>
      </c>
      <c r="AA21" s="91">
        <f>322.7/AA71</f>
        <v>76.741973840665864</v>
      </c>
    </row>
    <row r="22" spans="1:27" x14ac:dyDescent="0.3">
      <c r="A22" s="124">
        <v>1</v>
      </c>
      <c r="B22" s="133">
        <v>2009</v>
      </c>
      <c r="C22" s="101">
        <f>102.9*C71</f>
        <v>81.472684088460014</v>
      </c>
      <c r="D22" s="43">
        <f>102.8*D71</f>
        <v>80.817610061599993</v>
      </c>
      <c r="E22" s="118">
        <f>102.7*E71</f>
        <v>80.929866034420002</v>
      </c>
      <c r="F22" s="101">
        <f>103.6*F71</f>
        <v>80.310077514239993</v>
      </c>
      <c r="G22" s="43">
        <f>103.4*G71</f>
        <v>81.225451684960007</v>
      </c>
      <c r="H22" s="118">
        <f>104.2*H71</f>
        <v>83.426741392080004</v>
      </c>
      <c r="I22" s="92"/>
      <c r="J22" s="43">
        <f>103*J71</f>
        <v>81.230283909299999</v>
      </c>
      <c r="K22" s="97">
        <f>102.8*K71</f>
        <v>82.636655948520001</v>
      </c>
      <c r="L22" s="44">
        <f>101.9*L71</f>
        <v>79.733959315649997</v>
      </c>
      <c r="M22" s="43">
        <f>103.3*M71</f>
        <v>81.083202516119997</v>
      </c>
      <c r="N22" s="35">
        <f>103.2*N71</f>
        <v>80.062063700880003</v>
      </c>
      <c r="O22" s="92">
        <f>103.2*O71</f>
        <v>80.062063618319996</v>
      </c>
      <c r="P22" s="101">
        <f>103.8*P71</f>
        <v>81.732283464239998</v>
      </c>
      <c r="Q22" s="44">
        <f>102*Q71</f>
        <v>81.3397129218</v>
      </c>
      <c r="R22" s="43"/>
      <c r="S22" s="35">
        <f>219.7/S71</f>
        <v>96.698943661971839</v>
      </c>
      <c r="T22" s="100"/>
      <c r="U22" s="137"/>
      <c r="V22" s="97">
        <f>286.5/V71</f>
        <v>69.052783803326108</v>
      </c>
      <c r="W22" s="43">
        <f>184.8/W71</f>
        <v>96.804609743321109</v>
      </c>
      <c r="X22" s="100"/>
      <c r="Y22" s="55"/>
      <c r="Z22" s="35">
        <f>259.4/Z71</f>
        <v>61.179245283018858</v>
      </c>
      <c r="AA22" s="92">
        <f>255.5/AA71</f>
        <v>60.760998810939356</v>
      </c>
    </row>
    <row r="23" spans="1:27" x14ac:dyDescent="0.3">
      <c r="A23" s="124">
        <v>2</v>
      </c>
      <c r="B23" s="133">
        <v>2009</v>
      </c>
      <c r="C23" s="101">
        <f>103.8*C71</f>
        <v>82.185273162119998</v>
      </c>
      <c r="D23" s="43">
        <f>104.1*D71</f>
        <v>81.839622640199991</v>
      </c>
      <c r="E23" s="118">
        <f>104.1*E71</f>
        <v>82.033096924860004</v>
      </c>
      <c r="F23" s="101">
        <f>104.5*F71</f>
        <v>81.007751932800005</v>
      </c>
      <c r="G23" s="43">
        <f>104.4*G71</f>
        <v>82.010997639359999</v>
      </c>
      <c r="H23" s="118">
        <f>105*H71</f>
        <v>84.067253801999996</v>
      </c>
      <c r="I23" s="92"/>
      <c r="J23" s="43">
        <f>104.4*J71</f>
        <v>82.33438485564001</v>
      </c>
      <c r="K23" s="97">
        <f>104.1*K71</f>
        <v>83.681672025689991</v>
      </c>
      <c r="L23" s="44">
        <f>103.3*L71</f>
        <v>80.82942097454999</v>
      </c>
      <c r="M23" s="43">
        <f>104.6*M71</f>
        <v>82.103610679439996</v>
      </c>
      <c r="N23" s="35">
        <f>104.3*N71</f>
        <v>80.915438410869996</v>
      </c>
      <c r="O23" s="92">
        <f>104.3*O71</f>
        <v>80.915438327429996</v>
      </c>
      <c r="P23" s="101">
        <f>105.3*P71</f>
        <v>82.913385826439992</v>
      </c>
      <c r="Q23" s="44">
        <f>103.8*Q71</f>
        <v>82.77511962042</v>
      </c>
      <c r="R23" s="43"/>
      <c r="S23" s="35">
        <f>215.7/S71</f>
        <v>94.938380281690144</v>
      </c>
      <c r="T23" s="100"/>
      <c r="U23" s="137"/>
      <c r="V23" s="97">
        <f>271.3/V71</f>
        <v>65.38925042178839</v>
      </c>
      <c r="W23" s="43">
        <f>193/W71</f>
        <v>101.10005238344682</v>
      </c>
      <c r="X23" s="100"/>
      <c r="Y23" s="55"/>
      <c r="Z23" s="35">
        <f>257.4/Z71</f>
        <v>60.707547169811313</v>
      </c>
      <c r="AA23" s="92">
        <f>253.9/AA71</f>
        <v>60.380499405469678</v>
      </c>
    </row>
    <row r="24" spans="1:27" x14ac:dyDescent="0.3">
      <c r="A24" s="124">
        <v>3</v>
      </c>
      <c r="B24" s="133">
        <v>2009</v>
      </c>
      <c r="C24" s="101">
        <f>105.5*C71</f>
        <v>83.531274745700003</v>
      </c>
      <c r="D24" s="43">
        <f>105.4*D71</f>
        <v>82.861635218800004</v>
      </c>
      <c r="E24" s="118">
        <f>105.4*E71</f>
        <v>83.05752560884001</v>
      </c>
      <c r="F24" s="101">
        <f>106*F71</f>
        <v>82.170542630400007</v>
      </c>
      <c r="G24" s="43">
        <f>105.9*G71</f>
        <v>83.189316570960003</v>
      </c>
      <c r="H24" s="118">
        <f>106.2*H71</f>
        <v>85.028022416880006</v>
      </c>
      <c r="I24" s="92"/>
      <c r="J24" s="43">
        <f>105.8*J71</f>
        <v>83.438485801979994</v>
      </c>
      <c r="K24" s="97">
        <f>105.5*K71</f>
        <v>84.807073954949999</v>
      </c>
      <c r="L24" s="44">
        <f>104.9*L71</f>
        <v>82.081377156149998</v>
      </c>
      <c r="M24" s="43">
        <f>106.5*M71</f>
        <v>83.594976456599994</v>
      </c>
      <c r="N24" s="35">
        <f>105.7*N71</f>
        <v>82.001551678130014</v>
      </c>
      <c r="O24" s="92">
        <f>105.7*O71</f>
        <v>82.001551593569999</v>
      </c>
      <c r="P24" s="101">
        <f>106.6*P71</f>
        <v>83.937007873679988</v>
      </c>
      <c r="Q24" s="44">
        <f>105.3*Q71</f>
        <v>83.971291869270004</v>
      </c>
      <c r="R24" s="43"/>
      <c r="S24" s="35">
        <f>214.8/S71</f>
        <v>94.542253521126767</v>
      </c>
      <c r="T24" s="100"/>
      <c r="U24" s="137"/>
      <c r="V24" s="97">
        <f>253.5/V71</f>
        <v>61.099060014461315</v>
      </c>
      <c r="W24" s="43">
        <f>193/W71</f>
        <v>101.10005238344682</v>
      </c>
      <c r="X24" s="100"/>
      <c r="Y24" s="55"/>
      <c r="Z24" s="35">
        <f>242.4/Z71</f>
        <v>57.169811320754718</v>
      </c>
      <c r="AA24" s="92">
        <f>238.3/AA71</f>
        <v>56.670630202140309</v>
      </c>
    </row>
    <row r="25" spans="1:27" x14ac:dyDescent="0.3">
      <c r="A25" s="124">
        <v>4</v>
      </c>
      <c r="B25" s="133">
        <v>2009</v>
      </c>
      <c r="C25" s="170">
        <f>105.9*C71</f>
        <v>83.847981000660013</v>
      </c>
      <c r="D25" s="43">
        <f>105.9*D71</f>
        <v>83.254716979799994</v>
      </c>
      <c r="E25" s="118">
        <f>106*E71</f>
        <v>83.530338847600007</v>
      </c>
      <c r="F25" s="101">
        <f>106.4*F71</f>
        <v>82.48062014976</v>
      </c>
      <c r="G25" s="43">
        <f>106.4*G71</f>
        <v>83.582089548159999</v>
      </c>
      <c r="H25" s="118">
        <f>106.7*H71</f>
        <v>85.428342673079996</v>
      </c>
      <c r="I25" s="92"/>
      <c r="J25" s="43">
        <f>106.4*J71</f>
        <v>83.911671921840011</v>
      </c>
      <c r="K25" s="97">
        <f>106.1*K71</f>
        <v>85.289389067489992</v>
      </c>
      <c r="L25" s="44">
        <f>105.4*L71</f>
        <v>82.4726134629</v>
      </c>
      <c r="M25" s="43">
        <f>106.6*M71</f>
        <v>83.673469392239994</v>
      </c>
      <c r="N25" s="35">
        <f>106.3*N71</f>
        <v>82.467028792670007</v>
      </c>
      <c r="O25" s="92">
        <f>106.3*O71</f>
        <v>82.467028707629993</v>
      </c>
      <c r="P25" s="101">
        <f>107.1*P71</f>
        <v>84.330708661079996</v>
      </c>
      <c r="Q25" s="44">
        <f>105.5*Q71</f>
        <v>84.130781502450006</v>
      </c>
      <c r="R25" s="43"/>
      <c r="S25" s="35">
        <f>213.3/S71</f>
        <v>93.882042253521135</v>
      </c>
      <c r="T25" s="100"/>
      <c r="U25" s="137"/>
      <c r="V25" s="97">
        <f>250.2/V71</f>
        <v>60.303687635574832</v>
      </c>
      <c r="W25" s="43">
        <f>193/W71</f>
        <v>101.10005238344682</v>
      </c>
      <c r="X25" s="100"/>
      <c r="Y25" s="55"/>
      <c r="Z25" s="35">
        <f>258.2/Z71</f>
        <v>60.896226415094333</v>
      </c>
      <c r="AA25" s="92">
        <f>254.3/AA71</f>
        <v>60.475624256837101</v>
      </c>
    </row>
    <row r="26" spans="1:27" x14ac:dyDescent="0.3">
      <c r="A26" s="124">
        <v>5</v>
      </c>
      <c r="B26" s="133">
        <v>2009</v>
      </c>
      <c r="C26" s="170">
        <f>106.2*C71</f>
        <v>84.085510691880003</v>
      </c>
      <c r="D26" s="43">
        <f>106.2*D71</f>
        <v>83.490566036399997</v>
      </c>
      <c r="E26" s="118">
        <f>106.5*E71</f>
        <v>83.924349879900006</v>
      </c>
      <c r="F26" s="101">
        <f>106.8*F71</f>
        <v>82.790697669120007</v>
      </c>
      <c r="G26" s="43">
        <f>106.9*G71</f>
        <v>83.974862525359995</v>
      </c>
      <c r="H26" s="118">
        <f>107*H71</f>
        <v>85.668534826799998</v>
      </c>
      <c r="I26" s="92"/>
      <c r="J26" s="43">
        <f>106.8*J71</f>
        <v>84.227129335079994</v>
      </c>
      <c r="K26" s="97">
        <f>106.5*K71</f>
        <v>85.610932475849992</v>
      </c>
      <c r="L26" s="44">
        <f>105.6*L71</f>
        <v>82.629107985599987</v>
      </c>
      <c r="M26" s="43">
        <f>107*M71</f>
        <v>83.987441134799994</v>
      </c>
      <c r="N26" s="35">
        <f>106.7*N71</f>
        <v>82.777346869030012</v>
      </c>
      <c r="O26" s="92">
        <f>106.7*O71</f>
        <v>82.777346783669998</v>
      </c>
      <c r="P26" s="101">
        <f>107.8*P71</f>
        <v>84.881889763439986</v>
      </c>
      <c r="Q26" s="44">
        <f>105.8*Q71</f>
        <v>84.370015952220001</v>
      </c>
      <c r="R26" s="43"/>
      <c r="S26" s="35">
        <f>209/S71</f>
        <v>91.989436619718319</v>
      </c>
      <c r="T26" s="100"/>
      <c r="U26" s="137"/>
      <c r="V26" s="97">
        <f>251.1/V71</f>
        <v>60.520607375271148</v>
      </c>
      <c r="W26" s="43">
        <f>189.2/W71</f>
        <v>99.109481403876373</v>
      </c>
      <c r="X26" s="100"/>
      <c r="Y26" s="55"/>
      <c r="Z26" s="35">
        <f>261.4/Z71</f>
        <v>61.65094339622641</v>
      </c>
      <c r="AA26" s="92">
        <f>257.5/AA71</f>
        <v>61.236623067776456</v>
      </c>
    </row>
    <row r="27" spans="1:27" x14ac:dyDescent="0.3">
      <c r="A27" s="124">
        <v>6</v>
      </c>
      <c r="B27" s="133">
        <v>2009</v>
      </c>
      <c r="C27" s="101">
        <f>106.7*C71</f>
        <v>84.481393510580006</v>
      </c>
      <c r="D27" s="43">
        <f>106.4*D71</f>
        <v>83.647798740799999</v>
      </c>
      <c r="E27" s="118">
        <f>106.8*E71</f>
        <v>84.160756499279998</v>
      </c>
      <c r="F27" s="101">
        <f>107.2*F71</f>
        <v>83.10077518848</v>
      </c>
      <c r="G27" s="43">
        <f>107.2*G71</f>
        <v>84.210526311679999</v>
      </c>
      <c r="H27" s="118">
        <f>107.1*H71</f>
        <v>85.748598878039999</v>
      </c>
      <c r="I27" s="92"/>
      <c r="J27" s="43">
        <f>106.9*J71</f>
        <v>84.305993688390004</v>
      </c>
      <c r="K27" s="97">
        <f>107.2*K71</f>
        <v>86.173633440480003</v>
      </c>
      <c r="L27" s="44">
        <f>105.9*L71</f>
        <v>82.863849769650002</v>
      </c>
      <c r="M27" s="43">
        <f>107.1*M71</f>
        <v>84.065934070439994</v>
      </c>
      <c r="N27" s="35">
        <f>107*N71</f>
        <v>83.010085426300009</v>
      </c>
      <c r="O27" s="92">
        <f>107*O71</f>
        <v>83.010085340700002</v>
      </c>
      <c r="P27" s="101">
        <f>108.4*P71</f>
        <v>85.354330708319992</v>
      </c>
      <c r="Q27" s="44">
        <f>106.5*Q71</f>
        <v>84.928229668349999</v>
      </c>
      <c r="R27" s="43"/>
      <c r="S27" s="35">
        <f>208.9/S71</f>
        <v>91.945422535211279</v>
      </c>
      <c r="T27" s="100"/>
      <c r="U27" s="137"/>
      <c r="V27" s="97">
        <f>256.8/V71</f>
        <v>61.894432393347799</v>
      </c>
      <c r="W27" s="43">
        <f>189.2/W71</f>
        <v>99.109481403876373</v>
      </c>
      <c r="X27" s="100"/>
      <c r="Y27" s="55"/>
      <c r="Z27" s="35">
        <f>256.3/Z71</f>
        <v>60.448113207547166</v>
      </c>
      <c r="AA27" s="92">
        <f>253.1/AA71</f>
        <v>60.190249702734839</v>
      </c>
    </row>
    <row r="28" spans="1:27" x14ac:dyDescent="0.3">
      <c r="A28" s="124">
        <v>7</v>
      </c>
      <c r="B28" s="133">
        <v>2009</v>
      </c>
      <c r="C28" s="101">
        <f>107.9*C71</f>
        <v>85.431512275460008</v>
      </c>
      <c r="D28" s="43">
        <f>108.2*D71</f>
        <v>85.062893080400002</v>
      </c>
      <c r="E28" s="118">
        <f>108.1*E71</f>
        <v>85.185185183260003</v>
      </c>
      <c r="F28" s="101">
        <f>108.7*F71</f>
        <v>84.263565886080002</v>
      </c>
      <c r="G28" s="43">
        <f>108*G71</f>
        <v>84.838963075199999</v>
      </c>
      <c r="H28" s="118">
        <f>108*H71</f>
        <v>86.469175339200007</v>
      </c>
      <c r="I28" s="92"/>
      <c r="J28" s="43">
        <f>108.7*J71</f>
        <v>85.725552047969998</v>
      </c>
      <c r="K28" s="97">
        <f>107.9*K71</f>
        <v>86.73633440511</v>
      </c>
      <c r="L28" s="44">
        <f>107.8*L71</f>
        <v>84.350547735299997</v>
      </c>
      <c r="M28" s="43">
        <f>108.3*M71</f>
        <v>85.007849298119993</v>
      </c>
      <c r="N28" s="35">
        <f>108.2*N71</f>
        <v>83.94103965538001</v>
      </c>
      <c r="O28" s="92">
        <f>108.2*O71</f>
        <v>83.941039568820003</v>
      </c>
      <c r="P28" s="101">
        <f>109.6*P71</f>
        <v>86.29921259807999</v>
      </c>
      <c r="Q28" s="44">
        <f>107.5*Q71</f>
        <v>85.725677834250007</v>
      </c>
      <c r="R28" s="43"/>
      <c r="S28" s="35">
        <f>211.3/S71</f>
        <v>93.001760563380302</v>
      </c>
      <c r="T28" s="100"/>
      <c r="U28" s="137"/>
      <c r="V28" s="97">
        <f>266.2/V71</f>
        <v>64.160038563509275</v>
      </c>
      <c r="W28" s="43">
        <f>189.2/W71</f>
        <v>99.109481403876373</v>
      </c>
      <c r="X28" s="100"/>
      <c r="Y28" s="55"/>
      <c r="Z28" s="35">
        <f>272.1/Z71</f>
        <v>64.174528301886795</v>
      </c>
      <c r="AA28" s="92">
        <f>269.1/AA71</f>
        <v>63.995243757431631</v>
      </c>
    </row>
    <row r="29" spans="1:27" x14ac:dyDescent="0.3">
      <c r="A29" s="124">
        <v>8</v>
      </c>
      <c r="B29" s="133">
        <v>2009</v>
      </c>
      <c r="C29" s="101">
        <f>108.2*C71</f>
        <v>85.669041966680012</v>
      </c>
      <c r="D29" s="43">
        <f>108.6*D71</f>
        <v>85.377358489199992</v>
      </c>
      <c r="E29" s="118">
        <f>108.3*E71</f>
        <v>85.342789596179998</v>
      </c>
      <c r="F29" s="101">
        <f>109.2*F71</f>
        <v>84.651162785280007</v>
      </c>
      <c r="G29" s="43">
        <f>108.1*G71</f>
        <v>84.917517670639995</v>
      </c>
      <c r="H29" s="118">
        <f>108.2*H71</f>
        <v>86.629303441680008</v>
      </c>
      <c r="I29" s="92"/>
      <c r="J29" s="43">
        <f>108.9*J71</f>
        <v>85.883280754590004</v>
      </c>
      <c r="K29" s="97">
        <f>108.5*K71</f>
        <v>87.218649517649993</v>
      </c>
      <c r="L29" s="44">
        <f>108.1*L71</f>
        <v>84.585289519349999</v>
      </c>
      <c r="M29" s="43">
        <f>108.7*M71</f>
        <v>85.321821040679993</v>
      </c>
      <c r="N29" s="35">
        <f>108.4*N71</f>
        <v>84.096198693560012</v>
      </c>
      <c r="O29" s="92">
        <f>108.4*O71</f>
        <v>84.096198606840005</v>
      </c>
      <c r="P29" s="101">
        <f>110.2*P71</f>
        <v>86.771653542959996</v>
      </c>
      <c r="Q29" s="44">
        <f>107.6*Q71</f>
        <v>85.805422650840001</v>
      </c>
      <c r="R29" s="43"/>
      <c r="S29" s="35">
        <f>210.1/S71</f>
        <v>92.473591549295776</v>
      </c>
      <c r="T29" s="100"/>
      <c r="U29" s="137"/>
      <c r="V29" s="97">
        <f>262.1/V71</f>
        <v>63.171848638226081</v>
      </c>
      <c r="W29" s="43">
        <f>190.9/W71</f>
        <v>100</v>
      </c>
      <c r="X29" s="100"/>
      <c r="Y29" s="55"/>
      <c r="Z29" s="35">
        <f>264.2/Z71</f>
        <v>62.311320754716974</v>
      </c>
      <c r="AA29" s="92">
        <f>261.1/AA71</f>
        <v>62.092746730083242</v>
      </c>
    </row>
    <row r="30" spans="1:27" x14ac:dyDescent="0.3">
      <c r="A30" s="124">
        <v>9</v>
      </c>
      <c r="B30" s="133">
        <v>2009</v>
      </c>
      <c r="C30" s="101">
        <f>108.8*C71</f>
        <v>86.144101349120007</v>
      </c>
      <c r="D30" s="43">
        <f>108.8*D71</f>
        <v>85.534591193599994</v>
      </c>
      <c r="E30" s="118">
        <f>109*E71</f>
        <v>85.894405041400006</v>
      </c>
      <c r="F30" s="101">
        <f>109.6*F71</f>
        <v>84.96124030464</v>
      </c>
      <c r="G30" s="43">
        <f>108.4*G71</f>
        <v>85.153181456959999</v>
      </c>
      <c r="H30" s="118">
        <f>108.5*H71</f>
        <v>86.869495595399997</v>
      </c>
      <c r="I30" s="92"/>
      <c r="J30" s="43">
        <f>109.4*J71</f>
        <v>86.277602521140011</v>
      </c>
      <c r="K30" s="97">
        <f>108.8*K71</f>
        <v>87.45980707391999</v>
      </c>
      <c r="L30" s="44">
        <f>108.4*L71</f>
        <v>84.8200313034</v>
      </c>
      <c r="M30" s="43">
        <f>108.8*M71</f>
        <v>85.400313976319993</v>
      </c>
      <c r="N30" s="35">
        <f>108.8*N71</f>
        <v>84.406516769920003</v>
      </c>
      <c r="O30" s="92">
        <f>108.8*O71</f>
        <v>84.406516682879996</v>
      </c>
      <c r="P30" s="101">
        <f>110.4*P71</f>
        <v>86.929133857919993</v>
      </c>
      <c r="Q30" s="44">
        <f>108*Q71</f>
        <v>86.124401917200004</v>
      </c>
      <c r="R30" s="43"/>
      <c r="S30" s="35">
        <f>209.8/S71</f>
        <v>92.341549295774655</v>
      </c>
      <c r="T30" s="100"/>
      <c r="U30" s="137"/>
      <c r="V30" s="97">
        <f>272.6/V71</f>
        <v>65.702578934683061</v>
      </c>
      <c r="W30" s="43">
        <f>190.9/W71</f>
        <v>100</v>
      </c>
      <c r="X30" s="100"/>
      <c r="Y30" s="55"/>
      <c r="Z30" s="35">
        <f>277.7/Z71</f>
        <v>65.495283018867923</v>
      </c>
      <c r="AA30" s="92">
        <f>274.7/AA71</f>
        <v>65.326991676575503</v>
      </c>
    </row>
    <row r="31" spans="1:27" x14ac:dyDescent="0.3">
      <c r="A31" s="124">
        <v>10</v>
      </c>
      <c r="B31" s="133">
        <v>2009</v>
      </c>
      <c r="C31" s="101">
        <f>108.9*C71</f>
        <v>86.223277912860013</v>
      </c>
      <c r="D31" s="43">
        <f>108.8*D71</f>
        <v>85.534591193599994</v>
      </c>
      <c r="E31" s="118">
        <f>108.9*E71</f>
        <v>85.815602834940009</v>
      </c>
      <c r="F31" s="101">
        <f>109.7*F71</f>
        <v>85.038759684479999</v>
      </c>
      <c r="G31" s="43">
        <f>108.4*G71</f>
        <v>85.153181456959999</v>
      </c>
      <c r="H31" s="118">
        <f>108.4*H71</f>
        <v>86.78943154416001</v>
      </c>
      <c r="I31" s="92"/>
      <c r="J31" s="43">
        <f>109.3*J71</f>
        <v>86.198738167830001</v>
      </c>
      <c r="K31" s="97">
        <f>108.8*K71</f>
        <v>87.45980707391999</v>
      </c>
      <c r="L31" s="44">
        <f>108.2*L71</f>
        <v>84.663536780699999</v>
      </c>
      <c r="M31" s="43">
        <f>108.7*M71</f>
        <v>85.321821040679993</v>
      </c>
      <c r="N31" s="35">
        <f>108.7*N71</f>
        <v>84.328937250830009</v>
      </c>
      <c r="O31" s="92">
        <f>108.7*O71</f>
        <v>84.328937163869995</v>
      </c>
      <c r="P31" s="101">
        <f>110.4*P71</f>
        <v>86.929133857919993</v>
      </c>
      <c r="Q31" s="44">
        <f>108.1*Q71</f>
        <v>86.204146733789997</v>
      </c>
      <c r="R31" s="43"/>
      <c r="S31" s="35">
        <f>209.5/S71</f>
        <v>92.209507042253534</v>
      </c>
      <c r="T31" s="100"/>
      <c r="U31" s="137"/>
      <c r="V31" s="97">
        <f>257.7/V71</f>
        <v>62.111352133044107</v>
      </c>
      <c r="W31" s="43">
        <f>190.9/W71</f>
        <v>100</v>
      </c>
      <c r="X31" s="100"/>
      <c r="Y31" s="55"/>
      <c r="Z31" s="35">
        <f>265/Z71</f>
        <v>62.5</v>
      </c>
      <c r="AA31" s="92">
        <f>261.9/AA71</f>
        <v>62.282996432818067</v>
      </c>
    </row>
    <row r="32" spans="1:27" x14ac:dyDescent="0.3">
      <c r="A32" s="124">
        <v>11</v>
      </c>
      <c r="B32" s="133">
        <v>2009</v>
      </c>
      <c r="C32" s="101">
        <f>109*C71</f>
        <v>86.302454476600005</v>
      </c>
      <c r="D32" s="43">
        <f>108.8*D71</f>
        <v>85.534591193599994</v>
      </c>
      <c r="E32" s="118">
        <f>108.8*E71</f>
        <v>85.736800628479997</v>
      </c>
      <c r="F32" s="101">
        <f>109.6*F71</f>
        <v>84.96124030464</v>
      </c>
      <c r="G32" s="43">
        <f>108.3*G71</f>
        <v>85.074626861519988</v>
      </c>
      <c r="H32" s="118">
        <f>108.4*H71</f>
        <v>86.78943154416001</v>
      </c>
      <c r="I32" s="92"/>
      <c r="J32" s="43">
        <f>109.4*J71</f>
        <v>86.277602521140011</v>
      </c>
      <c r="K32" s="97">
        <f>108.8*K71</f>
        <v>87.45980707391999</v>
      </c>
      <c r="L32" s="44">
        <f>108.2*L71</f>
        <v>84.663536780699999</v>
      </c>
      <c r="M32" s="43">
        <f>108.6*M71</f>
        <v>85.243328105039993</v>
      </c>
      <c r="N32" s="35">
        <f>108.7*N71</f>
        <v>84.328937250830009</v>
      </c>
      <c r="O32" s="92">
        <f>108.7*O71</f>
        <v>84.328937163869995</v>
      </c>
      <c r="P32" s="101">
        <f>110.4*P71</f>
        <v>86.929133857919993</v>
      </c>
      <c r="Q32" s="44">
        <f>108*Q71</f>
        <v>86.124401917200004</v>
      </c>
      <c r="R32" s="43"/>
      <c r="S32" s="35">
        <f>209.8/S71</f>
        <v>92.341549295774655</v>
      </c>
      <c r="T32" s="100"/>
      <c r="U32" s="137"/>
      <c r="V32" s="97">
        <f>262.2/V71</f>
        <v>63.195950831525664</v>
      </c>
      <c r="W32" s="43">
        <f>188.1/W71</f>
        <v>98.53326348873756</v>
      </c>
      <c r="X32" s="100"/>
      <c r="Y32" s="55"/>
      <c r="Z32" s="35">
        <f>268.9/Z71</f>
        <v>63.419811320754711</v>
      </c>
      <c r="AA32" s="92">
        <f>265.9/AA71</f>
        <v>63.234244946492268</v>
      </c>
    </row>
    <row r="33" spans="1:27" x14ac:dyDescent="0.3">
      <c r="A33" s="124">
        <v>12</v>
      </c>
      <c r="B33" s="133">
        <v>2009</v>
      </c>
      <c r="C33" s="101">
        <f>109.7*C71</f>
        <v>86.856690422780005</v>
      </c>
      <c r="D33" s="43">
        <f>109*D71</f>
        <v>85.691823897999996</v>
      </c>
      <c r="E33" s="118">
        <f>109.1*E71</f>
        <v>85.973207247860003</v>
      </c>
      <c r="F33" s="101">
        <f>109.6*F71</f>
        <v>84.96124030464</v>
      </c>
      <c r="G33" s="43">
        <f>108.4*G71</f>
        <v>85.153181456959999</v>
      </c>
      <c r="H33" s="118">
        <f>108.7*H71</f>
        <v>87.029623697879998</v>
      </c>
      <c r="I33" s="92"/>
      <c r="J33" s="43">
        <f>109.8*J71</f>
        <v>86.593059934379994</v>
      </c>
      <c r="K33" s="97">
        <f>108.5*K71</f>
        <v>87.218649517649993</v>
      </c>
      <c r="L33" s="44">
        <f>108.8*L71</f>
        <v>85.133020348799988</v>
      </c>
      <c r="M33" s="43">
        <f>108.8*M71</f>
        <v>85.400313976319993</v>
      </c>
      <c r="N33" s="35">
        <f>108.9*N71</f>
        <v>84.484096289010012</v>
      </c>
      <c r="O33" s="92">
        <f>108.9*O71</f>
        <v>84.484096201889997</v>
      </c>
      <c r="P33" s="101">
        <f>110.7*P71</f>
        <v>87.165354330360003</v>
      </c>
      <c r="Q33" s="44">
        <f>108.2*Q71</f>
        <v>86.283891550380005</v>
      </c>
      <c r="R33" s="43"/>
      <c r="S33" s="35">
        <f>209.8/S71</f>
        <v>92.341549295774655</v>
      </c>
      <c r="T33" s="100"/>
      <c r="U33" s="137"/>
      <c r="V33" s="97">
        <f>275.4/V71</f>
        <v>66.377440347071584</v>
      </c>
      <c r="W33" s="43">
        <f>188.1/W71</f>
        <v>98.53326348873756</v>
      </c>
      <c r="X33" s="100"/>
      <c r="Y33" s="55"/>
      <c r="Z33" s="35">
        <f>278.9/Z71</f>
        <v>65.778301886792448</v>
      </c>
      <c r="AA33" s="92">
        <f>275.9/AA71</f>
        <v>65.612366230677765</v>
      </c>
    </row>
    <row r="34" spans="1:27" x14ac:dyDescent="0.3">
      <c r="A34" s="124">
        <v>1</v>
      </c>
      <c r="B34" s="133">
        <v>2010</v>
      </c>
      <c r="C34" s="101">
        <f>110*C71</f>
        <v>87.094220114000009</v>
      </c>
      <c r="D34" s="43">
        <f>109.2*D71</f>
        <v>85.849056602399997</v>
      </c>
      <c r="E34" s="118">
        <f>109.2*E71</f>
        <v>86.05200945432</v>
      </c>
      <c r="F34" s="101">
        <f>109.9*F71</f>
        <v>85.193798444160009</v>
      </c>
      <c r="G34" s="43">
        <f>108.9*G71</f>
        <v>85.545954434159995</v>
      </c>
      <c r="H34" s="118">
        <f>109.2*H71</f>
        <v>87.429943954080002</v>
      </c>
      <c r="I34" s="92"/>
      <c r="J34" s="43">
        <f>110.2*J71</f>
        <v>86.908517347620005</v>
      </c>
      <c r="K34" s="97">
        <f>108.8*K71</f>
        <v>87.45980707391999</v>
      </c>
      <c r="L34" s="44">
        <f>109.2*L71</f>
        <v>85.446009394200004</v>
      </c>
      <c r="M34" s="43">
        <f>109.1*M71</f>
        <v>85.635792783239992</v>
      </c>
      <c r="N34" s="35">
        <f>109.2*N71</f>
        <v>84.716834846280008</v>
      </c>
      <c r="O34" s="92">
        <f>109.2*O71</f>
        <v>84.716834758920001</v>
      </c>
      <c r="P34" s="101">
        <f>111.1*P71</f>
        <v>87.480314960279983</v>
      </c>
      <c r="Q34" s="44">
        <f>108.3*Q71</f>
        <v>86.363636366969999</v>
      </c>
      <c r="R34" s="43"/>
      <c r="S34" s="35">
        <f>212.5/S71</f>
        <v>93.529929577464799</v>
      </c>
      <c r="T34" s="100"/>
      <c r="U34" s="137"/>
      <c r="V34" s="97">
        <f>269.1/V71</f>
        <v>64.859002169197396</v>
      </c>
      <c r="W34" s="43">
        <f>188.1/W71</f>
        <v>98.53326348873756</v>
      </c>
      <c r="X34" s="100"/>
      <c r="Y34" s="55"/>
      <c r="Z34" s="35">
        <f>273.3/Z71</f>
        <v>64.45754716981132</v>
      </c>
      <c r="AA34" s="92">
        <f>270.3/AA71</f>
        <v>64.280618311533885</v>
      </c>
    </row>
    <row r="35" spans="1:27" x14ac:dyDescent="0.3">
      <c r="A35" s="124">
        <v>2</v>
      </c>
      <c r="B35" s="133">
        <v>2010</v>
      </c>
      <c r="C35" s="101">
        <f>110.4*C71</f>
        <v>87.410926368960006</v>
      </c>
      <c r="D35" s="43">
        <f>110*D71</f>
        <v>86.477987419999991</v>
      </c>
      <c r="E35" s="118">
        <f>110*E71</f>
        <v>86.682427106000006</v>
      </c>
      <c r="F35" s="101">
        <f>110.2*F71</f>
        <v>85.426356583680004</v>
      </c>
      <c r="G35" s="43">
        <f>109.4*G71</f>
        <v>85.938727411360006</v>
      </c>
      <c r="H35" s="118">
        <f>109.5*H71</f>
        <v>87.670136107800005</v>
      </c>
      <c r="I35" s="92"/>
      <c r="J35" s="43">
        <f>110.9*J71</f>
        <v>87.460567820790004</v>
      </c>
      <c r="K35" s="97">
        <f>109.5*K71</f>
        <v>88.022508038550001</v>
      </c>
      <c r="L35" s="44">
        <f>109.8*L71</f>
        <v>85.915492962299993</v>
      </c>
      <c r="M35" s="43">
        <f>110*M71</f>
        <v>86.342229203999992</v>
      </c>
      <c r="N35" s="35">
        <f>109.9*N71</f>
        <v>85.25989147991001</v>
      </c>
      <c r="O35" s="92">
        <f>109.9*O71</f>
        <v>85.259891391989996</v>
      </c>
      <c r="P35" s="101">
        <f>111.9*P71</f>
        <v>88.110236220120001</v>
      </c>
      <c r="Q35" s="44">
        <f>109.2*Q71</f>
        <v>87.081339716279999</v>
      </c>
      <c r="R35" s="43"/>
      <c r="S35" s="35">
        <f>213/S71</f>
        <v>93.750000000000014</v>
      </c>
      <c r="T35" s="100"/>
      <c r="U35" s="137"/>
      <c r="V35" s="97">
        <f>276.4/V71</f>
        <v>66.618462280067476</v>
      </c>
      <c r="W35" s="43">
        <f>188/W71</f>
        <v>98.480880041906758</v>
      </c>
      <c r="X35" s="100"/>
      <c r="Y35" s="55"/>
      <c r="Z35" s="35">
        <f>277.3/Z71</f>
        <v>65.40094339622641</v>
      </c>
      <c r="AA35" s="92">
        <f>274.3/AA71</f>
        <v>65.231866825208087</v>
      </c>
    </row>
    <row r="36" spans="1:27" x14ac:dyDescent="0.3">
      <c r="A36" s="124">
        <v>3</v>
      </c>
      <c r="B36" s="133">
        <v>2010</v>
      </c>
      <c r="C36" s="170">
        <f>111.7*C71</f>
        <v>88.440221697580014</v>
      </c>
      <c r="D36" s="43">
        <f>111*D71</f>
        <v>87.264150942000001</v>
      </c>
      <c r="E36" s="118">
        <f>111*E71</f>
        <v>87.470449170600006</v>
      </c>
      <c r="F36" s="101">
        <f>110.8*F71</f>
        <v>85.891472862719993</v>
      </c>
      <c r="G36" s="43">
        <f>110.4*G71</f>
        <v>86.724273365759998</v>
      </c>
      <c r="H36" s="118">
        <f>110.4*H71</f>
        <v>88.390712568959998</v>
      </c>
      <c r="I36" s="92"/>
      <c r="J36" s="43">
        <f>111.9*J71</f>
        <v>88.249211353890004</v>
      </c>
      <c r="K36" s="97">
        <f>110.5*K71</f>
        <v>88.826366559449994</v>
      </c>
      <c r="L36" s="44">
        <f>110.9*L71</f>
        <v>86.776212837149998</v>
      </c>
      <c r="M36" s="43">
        <f>110.7*M71</f>
        <v>86.891679753479991</v>
      </c>
      <c r="N36" s="35">
        <f>110.9*N71</f>
        <v>86.035686670810009</v>
      </c>
      <c r="O36" s="92">
        <f>110.9*O71</f>
        <v>86.035686582090008</v>
      </c>
      <c r="P36" s="101">
        <f>112.7*P71</f>
        <v>88.74015747995999</v>
      </c>
      <c r="Q36" s="44">
        <f>109.9*Q71</f>
        <v>87.639553432410011</v>
      </c>
      <c r="R36" s="43"/>
      <c r="S36" s="35">
        <f>213/S71</f>
        <v>93.750000000000014</v>
      </c>
      <c r="T36" s="100"/>
      <c r="U36" s="137"/>
      <c r="V36" s="97">
        <f>280.4/V71</f>
        <v>67.582550012051087</v>
      </c>
      <c r="W36" s="43">
        <f>188.9/W71</f>
        <v>98.952331063383966</v>
      </c>
      <c r="X36" s="100"/>
      <c r="Y36" s="55"/>
      <c r="Z36" s="35">
        <f>278.9/Z71</f>
        <v>65.778301886792448</v>
      </c>
      <c r="AA36" s="92">
        <f>275.9/AA71</f>
        <v>65.612366230677765</v>
      </c>
    </row>
    <row r="37" spans="1:27" x14ac:dyDescent="0.3">
      <c r="A37" s="124">
        <v>4</v>
      </c>
      <c r="B37" s="133">
        <v>2010</v>
      </c>
      <c r="C37" s="101">
        <f>112*C71</f>
        <v>88.677751388800004</v>
      </c>
      <c r="D37" s="43">
        <f>111.2*D71</f>
        <v>87.421383646400002</v>
      </c>
      <c r="E37" s="118">
        <f>111.4*E71</f>
        <v>87.785657996440008</v>
      </c>
      <c r="F37" s="101">
        <f>111.3*F71</f>
        <v>86.279069761919999</v>
      </c>
      <c r="G37" s="43">
        <f>110.3*G71</f>
        <v>86.645718770319988</v>
      </c>
      <c r="H37" s="118">
        <f>110.5*H71</f>
        <v>88.470776620199999</v>
      </c>
      <c r="I37" s="92"/>
      <c r="J37" s="43">
        <f>112.1*J71</f>
        <v>88.406940060509996</v>
      </c>
      <c r="K37" s="97">
        <f>110.7*K71</f>
        <v>88.987138263630001</v>
      </c>
      <c r="L37" s="44">
        <f>111.1*L71</f>
        <v>86.932707359849985</v>
      </c>
      <c r="M37" s="43">
        <f>110.9*M71</f>
        <v>87.048665624760005</v>
      </c>
      <c r="N37" s="35">
        <f>111.4*N71</f>
        <v>86.423584266260008</v>
      </c>
      <c r="O37" s="92">
        <f>111.4*O71</f>
        <v>86.42358417714</v>
      </c>
      <c r="P37" s="101">
        <f>112.8*P71</f>
        <v>88.818897637439989</v>
      </c>
      <c r="Q37" s="44">
        <f>109.9*Q71</f>
        <v>87.639553432410011</v>
      </c>
      <c r="R37" s="43"/>
      <c r="S37" s="35">
        <f>212.8/S71</f>
        <v>93.661971830985934</v>
      </c>
      <c r="T37" s="100"/>
      <c r="U37" s="137"/>
      <c r="V37" s="97">
        <f>296.5/V71</f>
        <v>71.463003133285127</v>
      </c>
      <c r="W37" s="43">
        <f>188.9/W71</f>
        <v>98.952331063383966</v>
      </c>
      <c r="X37" s="100"/>
      <c r="Y37" s="55"/>
      <c r="Z37" s="35">
        <f>298.3/Z71</f>
        <v>70.353773584905653</v>
      </c>
      <c r="AA37" s="92">
        <f>295.5/AA71</f>
        <v>70.273483947681328</v>
      </c>
    </row>
    <row r="38" spans="1:27" x14ac:dyDescent="0.3">
      <c r="A38" s="124">
        <v>5</v>
      </c>
      <c r="B38" s="133">
        <v>2010</v>
      </c>
      <c r="C38" s="101">
        <f>112.1*C71</f>
        <v>88.756927952539996</v>
      </c>
      <c r="D38" s="43">
        <f>111.4*D71</f>
        <v>87.578616350800004</v>
      </c>
      <c r="E38" s="118">
        <f>111.3*E71</f>
        <v>87.706855789979997</v>
      </c>
      <c r="F38" s="101">
        <f>111.5*F71</f>
        <v>86.43410852160001</v>
      </c>
      <c r="G38" s="43">
        <f>110.7*G71</f>
        <v>86.959937152080002</v>
      </c>
      <c r="H38" s="118">
        <f>110.7*H71</f>
        <v>88.63090472268</v>
      </c>
      <c r="I38" s="92"/>
      <c r="J38" s="43">
        <f>112.2*J71</f>
        <v>88.485804413820006</v>
      </c>
      <c r="K38" s="97">
        <f>110.8*K71</f>
        <v>89.067524115719991</v>
      </c>
      <c r="L38" s="44">
        <f>111.2*L71</f>
        <v>87.0109546212</v>
      </c>
      <c r="M38" s="43">
        <f>111.2*M71</f>
        <v>87.284144431679991</v>
      </c>
      <c r="N38" s="35">
        <f>111.4*N71</f>
        <v>86.423584266260008</v>
      </c>
      <c r="O38" s="92">
        <f>111.4*O71</f>
        <v>86.42358417714</v>
      </c>
      <c r="P38" s="101">
        <f>113*P71</f>
        <v>88.9763779524</v>
      </c>
      <c r="Q38" s="44">
        <f>110.3*Q71</f>
        <v>87.95853269877</v>
      </c>
      <c r="R38" s="43"/>
      <c r="S38" s="35">
        <f>215.4/S71</f>
        <v>94.806338028169023</v>
      </c>
      <c r="T38" s="100"/>
      <c r="U38" s="137"/>
      <c r="V38" s="97">
        <f>304.4/V71</f>
        <v>73.367076403952751</v>
      </c>
      <c r="W38" s="43">
        <f>187.6/W71</f>
        <v>98.271346254583548</v>
      </c>
      <c r="X38" s="100"/>
      <c r="Y38" s="55"/>
      <c r="Z38" s="35">
        <f>309.8/Z71</f>
        <v>73.066037735849051</v>
      </c>
      <c r="AA38" s="92">
        <f>306.7/AA71</f>
        <v>72.936979785969086</v>
      </c>
    </row>
    <row r="39" spans="1:27" x14ac:dyDescent="0.3">
      <c r="A39" s="124">
        <v>6</v>
      </c>
      <c r="B39" s="133">
        <v>2010</v>
      </c>
      <c r="C39" s="101">
        <f>112*C71</f>
        <v>88.677751388800004</v>
      </c>
      <c r="D39" s="43">
        <f>111.7*D71</f>
        <v>87.814465407399993</v>
      </c>
      <c r="E39" s="118">
        <f>111.4*E71</f>
        <v>87.785657996440008</v>
      </c>
      <c r="F39" s="101">
        <f>111.1*F71</f>
        <v>86.124031002240002</v>
      </c>
      <c r="G39" s="43">
        <f>110.9*G71</f>
        <v>87.117046342959995</v>
      </c>
      <c r="H39" s="118">
        <f>110.7*H71</f>
        <v>88.63090472268</v>
      </c>
      <c r="I39" s="92"/>
      <c r="J39" s="43">
        <f>112.5*J71</f>
        <v>88.722397473750007</v>
      </c>
      <c r="K39" s="97">
        <f>111*K71</f>
        <v>89.228295819899998</v>
      </c>
      <c r="L39" s="44">
        <f>110.9*L71</f>
        <v>86.776212837149998</v>
      </c>
      <c r="M39" s="43">
        <f>111.1*M71</f>
        <v>87.205651496039991</v>
      </c>
      <c r="N39" s="35">
        <f>111.5*N71</f>
        <v>86.501163785350002</v>
      </c>
      <c r="O39" s="92">
        <f>111.5*O71</f>
        <v>86.501163696150002</v>
      </c>
      <c r="P39" s="101">
        <f>113.2*P71</f>
        <v>89.133858267359997</v>
      </c>
      <c r="Q39" s="44">
        <f>110.4*Q71</f>
        <v>88.038277515360008</v>
      </c>
      <c r="R39" s="43"/>
      <c r="S39" s="35">
        <f>216.7/S71</f>
        <v>95.37852112676056</v>
      </c>
      <c r="T39" s="100"/>
      <c r="U39" s="137"/>
      <c r="V39" s="97">
        <f>300.5/V71</f>
        <v>72.427090865268738</v>
      </c>
      <c r="W39" s="43">
        <f>187.4/W71</f>
        <v>98.166579360921943</v>
      </c>
      <c r="X39" s="100"/>
      <c r="Y39" s="55"/>
      <c r="Z39" s="35">
        <f>303.9/Z71</f>
        <v>71.674528301886781</v>
      </c>
      <c r="AA39" s="92">
        <f>301.1/AA71</f>
        <v>71.605231866825207</v>
      </c>
    </row>
    <row r="40" spans="1:27" x14ac:dyDescent="0.3">
      <c r="A40" s="124">
        <v>7</v>
      </c>
      <c r="B40" s="133">
        <v>2010</v>
      </c>
      <c r="C40" s="101">
        <f>112.5*C71</f>
        <v>89.073634207500007</v>
      </c>
      <c r="D40" s="43">
        <f>112.5*D71</f>
        <v>88.443396225000001</v>
      </c>
      <c r="E40" s="118">
        <f>112*E71</f>
        <v>88.258471235200005</v>
      </c>
      <c r="F40" s="101">
        <f>112.7*F71</f>
        <v>87.364341079680003</v>
      </c>
      <c r="G40" s="43">
        <f>111.9*G71</f>
        <v>87.902592297360002</v>
      </c>
      <c r="H40" s="118">
        <f>110.9*H71</f>
        <v>88.791032825160002</v>
      </c>
      <c r="I40" s="92"/>
      <c r="J40" s="43">
        <f>113.2*J71</f>
        <v>89.274447946920006</v>
      </c>
      <c r="K40" s="97">
        <f>111.5*K71</f>
        <v>89.630225080350002</v>
      </c>
      <c r="L40" s="44">
        <f>112.2*L71</f>
        <v>87.793427234700005</v>
      </c>
      <c r="M40" s="43">
        <f>111.6*M71</f>
        <v>87.598116174239991</v>
      </c>
      <c r="N40" s="35">
        <f>112.5*N71</f>
        <v>87.27695897625</v>
      </c>
      <c r="O40" s="92">
        <f>112.5*O71</f>
        <v>87.27695888625</v>
      </c>
      <c r="P40" s="101">
        <f>113.2*P71</f>
        <v>89.133858267359997</v>
      </c>
      <c r="Q40" s="44">
        <f>110.9*Q71</f>
        <v>88.437001598310005</v>
      </c>
      <c r="R40" s="43"/>
      <c r="S40" s="35">
        <f>214.1/S71</f>
        <v>94.234154929577471</v>
      </c>
      <c r="T40" s="100"/>
      <c r="U40" s="137"/>
      <c r="V40" s="97">
        <f>296/V71</f>
        <v>71.342492166787181</v>
      </c>
      <c r="W40" s="43">
        <f>187.2/W71</f>
        <v>98.061812467260339</v>
      </c>
      <c r="X40" s="100"/>
      <c r="Y40" s="55"/>
      <c r="Z40" s="35">
        <f>297.9/Z71</f>
        <v>70.25943396226414</v>
      </c>
      <c r="AA40" s="92">
        <f>295.1/AA71</f>
        <v>70.178359096313912</v>
      </c>
    </row>
    <row r="41" spans="1:27" x14ac:dyDescent="0.3">
      <c r="A41" s="124">
        <v>8</v>
      </c>
      <c r="B41" s="133">
        <v>2010</v>
      </c>
      <c r="C41" s="101">
        <f>112.5*C71</f>
        <v>89.073634207500007</v>
      </c>
      <c r="D41" s="43">
        <f>112.4*D71</f>
        <v>88.3647798728</v>
      </c>
      <c r="E41" s="118">
        <f>112*E71</f>
        <v>88.258471235200005</v>
      </c>
      <c r="F41" s="101">
        <f>112.8*F71</f>
        <v>87.441860459520001</v>
      </c>
      <c r="G41" s="43">
        <f>112.1*G71</f>
        <v>88.059701488239995</v>
      </c>
      <c r="H41" s="118">
        <f>110.9*H71</f>
        <v>88.791032825160002</v>
      </c>
      <c r="I41" s="92"/>
      <c r="J41" s="43">
        <f>113.1*J71</f>
        <v>89.195583593609996</v>
      </c>
      <c r="K41" s="97">
        <f>111.7*K71</f>
        <v>89.790996784529995</v>
      </c>
      <c r="L41" s="44">
        <f>112.1*L71</f>
        <v>87.71517997334999</v>
      </c>
      <c r="M41" s="43">
        <f>111.7*M71</f>
        <v>87.67660910987999</v>
      </c>
      <c r="N41" s="35">
        <f>112.7*N71</f>
        <v>87.432118014430003</v>
      </c>
      <c r="O41" s="92">
        <f>112.7*O71</f>
        <v>87.432117924270003</v>
      </c>
      <c r="P41" s="101">
        <f>114*P71</f>
        <v>89.763779527200001</v>
      </c>
      <c r="Q41" s="44">
        <f>111*Q71</f>
        <v>88.516746414899998</v>
      </c>
      <c r="R41" s="43"/>
      <c r="S41" s="35">
        <f>212.6/S71</f>
        <v>93.573943661971839</v>
      </c>
      <c r="T41" s="100"/>
      <c r="U41" s="137"/>
      <c r="V41" s="97">
        <f>293.1/V71</f>
        <v>70.64352856109906</v>
      </c>
      <c r="W41" s="43">
        <f>186.7/W71</f>
        <v>97.799895233106326</v>
      </c>
      <c r="X41" s="100"/>
      <c r="Y41" s="55"/>
      <c r="Z41" s="35">
        <f>292.7/Z71</f>
        <v>69.033018867924525</v>
      </c>
      <c r="AA41" s="92">
        <f>289.9/AA71</f>
        <v>68.941736028537449</v>
      </c>
    </row>
    <row r="42" spans="1:27" x14ac:dyDescent="0.3">
      <c r="A42" s="124">
        <v>9</v>
      </c>
      <c r="B42" s="133">
        <v>2010</v>
      </c>
      <c r="C42" s="101">
        <f>112.6*C71</f>
        <v>89.152810771239999</v>
      </c>
      <c r="D42" s="43">
        <f>112.7*D71</f>
        <v>88.600628929400003</v>
      </c>
      <c r="E42" s="118">
        <f>112*E71</f>
        <v>88.258471235200005</v>
      </c>
      <c r="F42" s="101">
        <f>113*F71</f>
        <v>87.596899219199997</v>
      </c>
      <c r="G42" s="43">
        <f>112.7*G71</f>
        <v>88.531029060880002</v>
      </c>
      <c r="H42" s="118">
        <f>110.7*H71</f>
        <v>88.63090472268</v>
      </c>
      <c r="I42" s="92"/>
      <c r="J42" s="43">
        <f>113.5*J71</f>
        <v>89.511041006850007</v>
      </c>
      <c r="K42" s="97">
        <f>111.7*K71</f>
        <v>89.790996784529995</v>
      </c>
      <c r="L42" s="44">
        <f>112*L71</f>
        <v>87.636932712000004</v>
      </c>
      <c r="M42" s="43">
        <f>111.8*M71</f>
        <v>87.75510204551999</v>
      </c>
      <c r="N42" s="35">
        <f>113.3*N71</f>
        <v>87.897595128969996</v>
      </c>
      <c r="O42" s="92">
        <f>113.3*O71</f>
        <v>87.897595038329996</v>
      </c>
      <c r="P42" s="101">
        <f>114.2*P71</f>
        <v>89.921259842159998</v>
      </c>
      <c r="Q42" s="44">
        <f>111.4*Q71</f>
        <v>88.835725681260001</v>
      </c>
      <c r="R42" s="43"/>
      <c r="S42" s="35">
        <f>212.6/S71</f>
        <v>93.573943661971839</v>
      </c>
      <c r="T42" s="100"/>
      <c r="U42" s="137"/>
      <c r="V42" s="97">
        <f>290.6/V71</f>
        <v>70.040973728609302</v>
      </c>
      <c r="W42" s="43">
        <f>186.7/W71</f>
        <v>97.799895233106326</v>
      </c>
      <c r="X42" s="100"/>
      <c r="Y42" s="55"/>
      <c r="Z42" s="35">
        <f>292.7/Z71</f>
        <v>69.033018867924525</v>
      </c>
      <c r="AA42" s="92">
        <f>289.9/AA71</f>
        <v>68.941736028537449</v>
      </c>
    </row>
    <row r="43" spans="1:27" x14ac:dyDescent="0.3">
      <c r="A43" s="124">
        <v>10</v>
      </c>
      <c r="B43" s="133">
        <v>2010</v>
      </c>
      <c r="C43" s="101">
        <f>112.8*C71</f>
        <v>89.311163898720011</v>
      </c>
      <c r="D43" s="43">
        <f>112.8*D71</f>
        <v>88.679245281599989</v>
      </c>
      <c r="E43" s="118">
        <f>112.3*E71</f>
        <v>88.494877854579997</v>
      </c>
      <c r="F43" s="101">
        <f>113.3*F71</f>
        <v>87.829457358720006</v>
      </c>
      <c r="G43" s="43">
        <f>112.6*G71</f>
        <v>88.452474465439991</v>
      </c>
      <c r="H43" s="118">
        <f>110.9*H71</f>
        <v>88.791032825160002</v>
      </c>
      <c r="I43" s="92"/>
      <c r="J43" s="43">
        <f>113.6*J71</f>
        <v>89.589905360160003</v>
      </c>
      <c r="K43" s="97">
        <f>111.9*K71</f>
        <v>89.951768488710002</v>
      </c>
      <c r="L43" s="44">
        <f>112.3*L71</f>
        <v>87.871674496049991</v>
      </c>
      <c r="M43" s="43">
        <f>111.9*M71</f>
        <v>87.833594981160005</v>
      </c>
      <c r="N43" s="35">
        <f>113.5*N71</f>
        <v>88.052754167149999</v>
      </c>
      <c r="O43" s="92">
        <f>113.5*O71</f>
        <v>88.052754076349999</v>
      </c>
      <c r="P43" s="101">
        <f>114.8*P71</f>
        <v>90.39370078703999</v>
      </c>
      <c r="Q43" s="44">
        <f>111.9*Q71</f>
        <v>89.234449764209998</v>
      </c>
      <c r="R43" s="43"/>
      <c r="S43" s="35">
        <f>213.7/S71</f>
        <v>94.058098591549296</v>
      </c>
      <c r="T43" s="100">
        <f>248.8/T71</f>
        <v>86.089965397923876</v>
      </c>
      <c r="U43" s="137">
        <f>264.6/U71</f>
        <v>82.173913043478265</v>
      </c>
      <c r="V43" s="97">
        <f>291.3/V71</f>
        <v>70.209689081706443</v>
      </c>
      <c r="W43" s="43">
        <f>186.8/W71</f>
        <v>97.852278679937143</v>
      </c>
      <c r="X43" s="100">
        <f>205.1/X71</f>
        <v>93.397085610200349</v>
      </c>
      <c r="Y43" s="55">
        <f>189.4/Y71</f>
        <v>95.08032128514057</v>
      </c>
      <c r="Z43" s="35">
        <f>291.6/Z71</f>
        <v>68.773584905660385</v>
      </c>
      <c r="AA43" s="92">
        <f>288.7/AA71</f>
        <v>68.656361474435187</v>
      </c>
    </row>
    <row r="44" spans="1:27" x14ac:dyDescent="0.3">
      <c r="A44" s="124">
        <v>11</v>
      </c>
      <c r="B44" s="133">
        <v>2010</v>
      </c>
      <c r="C44" s="101">
        <f>112.9*C71</f>
        <v>89.390340462460017</v>
      </c>
      <c r="D44" s="43">
        <f>113.1*D71</f>
        <v>88.915094338199992</v>
      </c>
      <c r="E44" s="118">
        <f>112.3*E71</f>
        <v>88.494877854579997</v>
      </c>
      <c r="F44" s="101">
        <f>113.3*F71</f>
        <v>87.829457358720006</v>
      </c>
      <c r="G44" s="43">
        <f>112.8*G71</f>
        <v>88.609583656319998</v>
      </c>
      <c r="H44" s="118">
        <f>111*H71</f>
        <v>88.871096876400003</v>
      </c>
      <c r="I44" s="92"/>
      <c r="J44" s="43">
        <f>113.9*J71</f>
        <v>89.826498420090005</v>
      </c>
      <c r="K44" s="97">
        <f>112.1*K71</f>
        <v>90.112540192889995</v>
      </c>
      <c r="L44" s="44">
        <f>112.5*L71</f>
        <v>88.028169018749992</v>
      </c>
      <c r="M44" s="43">
        <f>112.2*M71</f>
        <v>88.06907378807999</v>
      </c>
      <c r="N44" s="35">
        <f>113.6*N71</f>
        <v>88.130333686240007</v>
      </c>
      <c r="O44" s="92">
        <f>113.6*O71</f>
        <v>88.13033359536</v>
      </c>
      <c r="P44" s="101">
        <f>114.6*P71</f>
        <v>90.236220472079992</v>
      </c>
      <c r="Q44" s="44">
        <f>112.1*Q71</f>
        <v>89.39393939739</v>
      </c>
      <c r="R44" s="43"/>
      <c r="S44" s="35">
        <f>212.9/S71</f>
        <v>93.705985915492974</v>
      </c>
      <c r="T44" s="100">
        <f>248.7/T71</f>
        <v>86.055363321799305</v>
      </c>
      <c r="U44" s="137">
        <f>264.7/U71</f>
        <v>82.204968944099377</v>
      </c>
      <c r="V44" s="97">
        <f>299/V71</f>
        <v>72.065557965774886</v>
      </c>
      <c r="W44" s="43">
        <f>187.5/W71</f>
        <v>98.218962807752746</v>
      </c>
      <c r="X44" s="100">
        <f>205.4/X71</f>
        <v>93.533697632058278</v>
      </c>
      <c r="Y44" s="55">
        <f>190.1/Y71</f>
        <v>95.431726907630519</v>
      </c>
      <c r="Z44" s="35">
        <f>301.5/Z71</f>
        <v>71.10849056603773</v>
      </c>
      <c r="AA44" s="92">
        <f>298.7/AA71</f>
        <v>71.034482758620683</v>
      </c>
    </row>
    <row r="45" spans="1:27" x14ac:dyDescent="0.3">
      <c r="A45" s="124">
        <v>12</v>
      </c>
      <c r="B45" s="133">
        <v>2010</v>
      </c>
      <c r="C45" s="101">
        <f>113.2*C71</f>
        <v>89.627870153680007</v>
      </c>
      <c r="D45" s="43">
        <f>113.2*D71</f>
        <v>88.993710690399993</v>
      </c>
      <c r="E45" s="118">
        <f>112.5*E71</f>
        <v>88.652482267500005</v>
      </c>
      <c r="F45" s="101">
        <f>113.3*F71</f>
        <v>87.829457358720006</v>
      </c>
      <c r="G45" s="43">
        <f>113.1*G71</f>
        <v>88.845247442639987</v>
      </c>
      <c r="H45" s="118">
        <f>111.2*H71</f>
        <v>89.031224978880005</v>
      </c>
      <c r="I45" s="92"/>
      <c r="J45" s="43">
        <f>114*J71</f>
        <v>89.9053627734</v>
      </c>
      <c r="K45" s="97">
        <f>112.3*K71</f>
        <v>90.273311897070002</v>
      </c>
      <c r="L45" s="44">
        <f>113*L71</f>
        <v>88.419405325499994</v>
      </c>
      <c r="M45" s="43">
        <f>112.2*M71</f>
        <v>88.06907378807999</v>
      </c>
      <c r="N45" s="35">
        <f>113.8*N71</f>
        <v>88.285492724419996</v>
      </c>
      <c r="O45" s="92">
        <f>113.8*O71</f>
        <v>88.285492633379988</v>
      </c>
      <c r="P45" s="101">
        <f>114.6*P71</f>
        <v>90.236220472079992</v>
      </c>
      <c r="Q45" s="44">
        <f>112.1*Q71</f>
        <v>89.39393939739</v>
      </c>
      <c r="R45" s="43"/>
      <c r="S45" s="35">
        <f>213.1/S71</f>
        <v>93.794014084507054</v>
      </c>
      <c r="T45" s="100">
        <f>248.5/T71</f>
        <v>85.986159169550163</v>
      </c>
      <c r="U45" s="137">
        <f>266.2/U71</f>
        <v>82.670807453416145</v>
      </c>
      <c r="V45" s="97">
        <f>309.4/V71</f>
        <v>74.572186068932268</v>
      </c>
      <c r="W45" s="43">
        <f>185.8/W71</f>
        <v>97.328444211629133</v>
      </c>
      <c r="X45" s="100">
        <f>201.5/X71</f>
        <v>91.757741347905281</v>
      </c>
      <c r="Y45" s="55">
        <f>189.2/Y71</f>
        <v>94.97991967871485</v>
      </c>
      <c r="Z45" s="35">
        <f>301.5/Z71</f>
        <v>71.10849056603773</v>
      </c>
      <c r="AA45" s="92">
        <f>298.7/AA71</f>
        <v>71.034482758620683</v>
      </c>
    </row>
    <row r="46" spans="1:27" x14ac:dyDescent="0.3">
      <c r="A46" s="124">
        <v>1</v>
      </c>
      <c r="B46" s="133">
        <v>2011</v>
      </c>
      <c r="C46" s="101">
        <f>113.7*C71</f>
        <v>90.023752972380009</v>
      </c>
      <c r="D46" s="43">
        <f>113.8*D71</f>
        <v>89.465408803599985</v>
      </c>
      <c r="E46" s="118">
        <f>112.9*E71</f>
        <v>88.967691093340008</v>
      </c>
      <c r="F46" s="101">
        <f>114.2*F71</f>
        <v>88.527131777280005</v>
      </c>
      <c r="G46" s="43">
        <f>113.7*G71</f>
        <v>89.316575015279994</v>
      </c>
      <c r="H46" s="118">
        <f>111.7*H71</f>
        <v>89.431545235080009</v>
      </c>
      <c r="I46" s="92"/>
      <c r="J46" s="43">
        <f>114.1*J71</f>
        <v>89.984227126709996</v>
      </c>
      <c r="K46" s="97">
        <f>112.7*K71</f>
        <v>90.594855305430002</v>
      </c>
      <c r="L46" s="44">
        <f>113.6*L71</f>
        <v>88.888888893599997</v>
      </c>
      <c r="M46" s="43">
        <f>113*M71</f>
        <v>88.69701727319999</v>
      </c>
      <c r="N46" s="35">
        <f>114.6*N71</f>
        <v>88.906128877140006</v>
      </c>
      <c r="O46" s="92">
        <f>114.6*O71</f>
        <v>88.906128785459998</v>
      </c>
      <c r="P46" s="101">
        <f>115.3*P71</f>
        <v>90.787401574439997</v>
      </c>
      <c r="Q46" s="44">
        <f>113*Q71</f>
        <v>90.111642746699999</v>
      </c>
      <c r="R46" s="43"/>
      <c r="S46" s="35">
        <f>215.4/S71</f>
        <v>94.806338028169023</v>
      </c>
      <c r="T46" s="100">
        <f>250.3/T71</f>
        <v>86.608996539792386</v>
      </c>
      <c r="U46" s="137">
        <f>266.7/U71</f>
        <v>82.826086956521735</v>
      </c>
      <c r="V46" s="97">
        <f>321/V71</f>
        <v>77.368040491684738</v>
      </c>
      <c r="W46" s="43">
        <f>184.2/W71</f>
        <v>96.490309062336294</v>
      </c>
      <c r="X46" s="100">
        <f>201.9/X71</f>
        <v>91.939890710382514</v>
      </c>
      <c r="Y46" s="55">
        <f>189/Y71</f>
        <v>94.879518072289159</v>
      </c>
      <c r="Z46" s="35">
        <f>311/Z71</f>
        <v>73.349056603773576</v>
      </c>
      <c r="AA46" s="92">
        <f>307.9/AA71</f>
        <v>73.222354340071334</v>
      </c>
    </row>
    <row r="47" spans="1:27" x14ac:dyDescent="0.3">
      <c r="A47" s="124">
        <v>2</v>
      </c>
      <c r="B47" s="133">
        <v>2011</v>
      </c>
      <c r="C47" s="101">
        <f>114.5*C71</f>
        <v>90.657165482300002</v>
      </c>
      <c r="D47" s="43">
        <f>114.7*D71</f>
        <v>90.172955973399993</v>
      </c>
      <c r="E47" s="118">
        <f>113.8*E71</f>
        <v>89.676910951479996</v>
      </c>
      <c r="F47" s="101">
        <f>114.9*F71</f>
        <v>89.069767436160006</v>
      </c>
      <c r="G47" s="43">
        <f>114.5*G71</f>
        <v>89.945011778799994</v>
      </c>
      <c r="H47" s="118">
        <f>112.4*H71</f>
        <v>89.99199359376</v>
      </c>
      <c r="I47" s="92"/>
      <c r="J47" s="43">
        <f>114.8*J71</f>
        <v>90.536277599879995</v>
      </c>
      <c r="K47" s="97">
        <f>113.4*K71</f>
        <v>91.157556270059999</v>
      </c>
      <c r="L47" s="44">
        <f>114.3*L71</f>
        <v>89.436619723050001</v>
      </c>
      <c r="M47" s="43">
        <f>113.9*M71</f>
        <v>89.403453693960003</v>
      </c>
      <c r="N47" s="35">
        <f>115.4*N71</f>
        <v>89.526765029860016</v>
      </c>
      <c r="O47" s="92">
        <f>115.4*O71</f>
        <v>89.526764937540008</v>
      </c>
      <c r="P47" s="101">
        <f>116.1*P71</f>
        <v>91.417322834279986</v>
      </c>
      <c r="Q47" s="44">
        <f>113.8*Q71</f>
        <v>90.749601279419991</v>
      </c>
      <c r="R47" s="43"/>
      <c r="S47" s="35">
        <f>215.9/S71</f>
        <v>95.026408450704238</v>
      </c>
      <c r="T47" s="100">
        <f>257.9/T71</f>
        <v>89.238754325259507</v>
      </c>
      <c r="U47" s="137">
        <f>272.2/U71</f>
        <v>84.534161490683218</v>
      </c>
      <c r="V47" s="97">
        <f>350.9/V71</f>
        <v>84.574596288262228</v>
      </c>
      <c r="W47" s="43">
        <f>186.6/W71</f>
        <v>97.747511786275538</v>
      </c>
      <c r="X47" s="100">
        <f>202.7/X71</f>
        <v>92.304189435336966</v>
      </c>
      <c r="Y47" s="55">
        <f>190.4/Y71</f>
        <v>95.582329317269085</v>
      </c>
      <c r="Z47" s="35">
        <f>322.9/Z71</f>
        <v>76.155660377358487</v>
      </c>
      <c r="AA47" s="92">
        <f>319.9/AA71</f>
        <v>76.076099881093924</v>
      </c>
    </row>
    <row r="48" spans="1:27" x14ac:dyDescent="0.3">
      <c r="A48" s="124">
        <v>3</v>
      </c>
      <c r="B48" s="133">
        <v>2011</v>
      </c>
      <c r="C48" s="101">
        <f>116*C71</f>
        <v>91.844813938400009</v>
      </c>
      <c r="D48" s="43">
        <f>116.1*D71</f>
        <v>91.273584904199993</v>
      </c>
      <c r="E48" s="118">
        <f>115*E71</f>
        <v>90.622537429000005</v>
      </c>
      <c r="F48" s="101">
        <f>116.4*F71</f>
        <v>90.232558133760008</v>
      </c>
      <c r="G48" s="43">
        <f>115.5*G71</f>
        <v>90.730557733200001</v>
      </c>
      <c r="H48" s="118">
        <f>113.5*H71</f>
        <v>90.872698157399995</v>
      </c>
      <c r="I48" s="92"/>
      <c r="J48" s="43">
        <f>116.1*J71</f>
        <v>91.561514192909996</v>
      </c>
      <c r="K48" s="97">
        <f>114.6*K71</f>
        <v>92.122186495139999</v>
      </c>
      <c r="L48" s="44">
        <f>115.9*L71</f>
        <v>90.688575904649994</v>
      </c>
      <c r="M48" s="43">
        <f>115.2*M71</f>
        <v>90.423861857280002</v>
      </c>
      <c r="N48" s="35">
        <f>116.9*N71</f>
        <v>90.690457816210014</v>
      </c>
      <c r="O48" s="92">
        <f>116.9*O71</f>
        <v>90.690457722689999</v>
      </c>
      <c r="P48" s="101">
        <f>116.9*P71</f>
        <v>92.047244094120003</v>
      </c>
      <c r="Q48" s="44">
        <f>115.4*Q71</f>
        <v>92.025518344860004</v>
      </c>
      <c r="R48" s="43"/>
      <c r="S48" s="35">
        <f>217.4/S71</f>
        <v>95.686619718309871</v>
      </c>
      <c r="T48" s="100">
        <f>261.5/T71</f>
        <v>90.484429065743939</v>
      </c>
      <c r="U48" s="137">
        <f>283.1/U71</f>
        <v>87.9192546583851</v>
      </c>
      <c r="V48" s="97">
        <f>374.2/V71</f>
        <v>90.190407327066765</v>
      </c>
      <c r="W48" s="43">
        <f>187.3/W71</f>
        <v>98.114195914091155</v>
      </c>
      <c r="X48" s="100">
        <f>204/X71</f>
        <v>92.896174863387969</v>
      </c>
      <c r="Y48" s="55">
        <f>191.3/Y71</f>
        <v>96.03413654618474</v>
      </c>
      <c r="Z48" s="35">
        <f>348.3/Z71</f>
        <v>82.146226415094333</v>
      </c>
      <c r="AA48" s="92">
        <f>345.5/AA71</f>
        <v>82.164090368608797</v>
      </c>
    </row>
    <row r="49" spans="1:27" x14ac:dyDescent="0.3">
      <c r="A49" s="124">
        <v>4</v>
      </c>
      <c r="B49" s="133">
        <v>2011</v>
      </c>
      <c r="C49" s="101">
        <f>116.3*C71</f>
        <v>92.082343629619999</v>
      </c>
      <c r="D49" s="43">
        <f>116.4*D71</f>
        <v>91.509433960799996</v>
      </c>
      <c r="E49" s="118">
        <f>115.3*E71</f>
        <v>90.858944048379996</v>
      </c>
      <c r="F49" s="101">
        <f>116.7*F71</f>
        <v>90.465116273280003</v>
      </c>
      <c r="G49" s="43">
        <f>116.1*G71</f>
        <v>91.201885305839994</v>
      </c>
      <c r="H49" s="118">
        <f>114*H71</f>
        <v>91.273018413599999</v>
      </c>
      <c r="I49" s="92"/>
      <c r="J49" s="43">
        <f>116.6*J71</f>
        <v>91.955835959460003</v>
      </c>
      <c r="K49" s="97">
        <f>114.8*K71</f>
        <v>92.282958199319992</v>
      </c>
      <c r="L49" s="44">
        <f>116.4*L71</f>
        <v>91.079812211399997</v>
      </c>
      <c r="M49" s="43">
        <f>115.6*M71</f>
        <v>90.737833599839988</v>
      </c>
      <c r="N49" s="35">
        <f>117.4*N71</f>
        <v>91.078355411660013</v>
      </c>
      <c r="O49" s="92">
        <f>117.4*O71</f>
        <v>91.078355317740005</v>
      </c>
      <c r="P49" s="101">
        <f>117.1*P71</f>
        <v>92.204724409079986</v>
      </c>
      <c r="Q49" s="44">
        <f>115.6*Q71</f>
        <v>92.185007978039991</v>
      </c>
      <c r="R49" s="43"/>
      <c r="S49" s="35">
        <f>216/S71</f>
        <v>95.070422535211279</v>
      </c>
      <c r="T49" s="100">
        <f>261.6/T71</f>
        <v>90.51903114186851</v>
      </c>
      <c r="U49" s="137">
        <f>292.7/U71</f>
        <v>90.90062111801241</v>
      </c>
      <c r="V49" s="97">
        <f>396.8/V71</f>
        <v>95.637503012774161</v>
      </c>
      <c r="W49" s="43">
        <f>187.5/W71</f>
        <v>98.218962807752746</v>
      </c>
      <c r="X49" s="100">
        <f>204/X71</f>
        <v>92.896174863387969</v>
      </c>
      <c r="Y49" s="55">
        <f>191.8/Y71</f>
        <v>96.285140562248998</v>
      </c>
      <c r="Z49" s="35">
        <f>376.1/Z71</f>
        <v>88.702830188679243</v>
      </c>
      <c r="AA49" s="92">
        <f>371.1/AA71</f>
        <v>88.252080856123669</v>
      </c>
    </row>
    <row r="50" spans="1:27" x14ac:dyDescent="0.3">
      <c r="A50" s="124">
        <v>5</v>
      </c>
      <c r="B50" s="133">
        <v>2011</v>
      </c>
      <c r="C50" s="101">
        <f>116.9*C71</f>
        <v>92.557403012060007</v>
      </c>
      <c r="D50" s="43">
        <f>116.9*D71</f>
        <v>91.9025157218</v>
      </c>
      <c r="E50" s="118">
        <f>115.9*E71</f>
        <v>91.331757287140007</v>
      </c>
      <c r="F50" s="101">
        <f>117.1*F71</f>
        <v>90.775193792639996</v>
      </c>
      <c r="G50" s="43">
        <f>116.5*G71</f>
        <v>91.516103687599994</v>
      </c>
      <c r="H50" s="118">
        <f>114.7*H71</f>
        <v>91.833466772280005</v>
      </c>
      <c r="I50" s="92"/>
      <c r="J50" s="43">
        <f>117.2*J71</f>
        <v>92.429022079320006</v>
      </c>
      <c r="K50" s="97">
        <f>115.4*K71</f>
        <v>92.76527331186</v>
      </c>
      <c r="L50" s="44">
        <f>117*L71</f>
        <v>91.5492957795</v>
      </c>
      <c r="M50" s="43">
        <f>116.1*M71</f>
        <v>91.130298278039987</v>
      </c>
      <c r="N50" s="105">
        <f>117.8*N71</f>
        <v>91.388673488020004</v>
      </c>
      <c r="O50" s="126">
        <f>117.8*O71</f>
        <v>91.388673393779996</v>
      </c>
      <c r="P50" s="101">
        <f>117.7*P71</f>
        <v>92.677165353959992</v>
      </c>
      <c r="Q50" s="44">
        <f>116.3*Q71</f>
        <v>92.743221694170003</v>
      </c>
      <c r="R50" s="43"/>
      <c r="S50" s="35">
        <f>215.7/S71</f>
        <v>94.938380281690144</v>
      </c>
      <c r="T50" s="100">
        <f>261.3/T71</f>
        <v>90.415224913494811</v>
      </c>
      <c r="U50" s="137">
        <f>294/U71</f>
        <v>91.304347826086953</v>
      </c>
      <c r="V50" s="97">
        <f>392.3/V71</f>
        <v>94.552904314292604</v>
      </c>
      <c r="W50" s="43">
        <f>187.5/W71</f>
        <v>98.218962807752746</v>
      </c>
      <c r="X50" s="100">
        <f>205.5/X71</f>
        <v>93.579234972677583</v>
      </c>
      <c r="Y50" s="55">
        <f>193.3/Y71</f>
        <v>97.03815261044177</v>
      </c>
      <c r="Z50" s="35">
        <f>382.4/Z71</f>
        <v>90.188679245283012</v>
      </c>
      <c r="AA50" s="92">
        <f>377.5/AA71</f>
        <v>89.77407847800238</v>
      </c>
    </row>
    <row r="51" spans="1:27" x14ac:dyDescent="0.3">
      <c r="A51" s="124">
        <v>6</v>
      </c>
      <c r="B51" s="133">
        <v>2011</v>
      </c>
      <c r="C51" s="101">
        <f>117.3*C71</f>
        <v>92.874109267020003</v>
      </c>
      <c r="D51" s="43">
        <f>117.1*D71</f>
        <v>92.059748426199988</v>
      </c>
      <c r="E51" s="118">
        <f>116.6*E71</f>
        <v>91.883372732360002</v>
      </c>
      <c r="F51" s="101">
        <f>117.4*F71</f>
        <v>91.007751932160005</v>
      </c>
      <c r="G51" s="43">
        <f>117.2*G71</f>
        <v>92.065985855679997</v>
      </c>
      <c r="H51" s="118">
        <f>115.3*H71</f>
        <v>92.313851079719996</v>
      </c>
      <c r="I51" s="92"/>
      <c r="J51" s="43">
        <f>117.5*J71</f>
        <v>92.665615139250008</v>
      </c>
      <c r="K51" s="97">
        <f>116*K71</f>
        <v>93.247588424399993</v>
      </c>
      <c r="L51" s="44">
        <f>117.8*L71</f>
        <v>92.175273870299989</v>
      </c>
      <c r="M51" s="43">
        <f>116.9*M71</f>
        <v>91.758241763160001</v>
      </c>
      <c r="N51" s="105">
        <f>118.2*N71</f>
        <v>91.698991564380009</v>
      </c>
      <c r="O51" s="126">
        <f>118.2*O71</f>
        <v>91.698991469820001</v>
      </c>
      <c r="P51" s="101">
        <f>117.8*P71</f>
        <v>92.755905511439991</v>
      </c>
      <c r="Q51" s="44">
        <f>116.6*Q71</f>
        <v>92.982456143939999</v>
      </c>
      <c r="R51" s="43"/>
      <c r="S51" s="35">
        <f>216.1/S71</f>
        <v>95.114436619718319</v>
      </c>
      <c r="T51" s="100">
        <f>265.2/T71</f>
        <v>91.764705882352928</v>
      </c>
      <c r="U51" s="137">
        <f>294.4/U71</f>
        <v>91.428571428571416</v>
      </c>
      <c r="V51" s="97">
        <f>380.9/V71</f>
        <v>91.805254278139302</v>
      </c>
      <c r="W51" s="43">
        <f>188.8/W71</f>
        <v>98.899947616553177</v>
      </c>
      <c r="X51" s="100">
        <f>205.5/X71</f>
        <v>93.579234972677583</v>
      </c>
      <c r="Y51" s="55">
        <f>194/Y71</f>
        <v>97.389558232931734</v>
      </c>
      <c r="Z51" s="35">
        <f>367.3/Z71</f>
        <v>86.627358490566039</v>
      </c>
      <c r="AA51" s="92">
        <f>362.3/AA71</f>
        <v>86.159334126040434</v>
      </c>
    </row>
    <row r="52" spans="1:27" x14ac:dyDescent="0.3">
      <c r="A52" s="124">
        <v>7</v>
      </c>
      <c r="B52" s="133">
        <v>2011</v>
      </c>
      <c r="C52" s="101">
        <f>118.1*C71</f>
        <v>93.507521776939996</v>
      </c>
      <c r="D52" s="43">
        <f>118.4*D71</f>
        <v>93.081761004800001</v>
      </c>
      <c r="E52" s="118">
        <f>117.5*E71</f>
        <v>92.592592590500004</v>
      </c>
      <c r="F52" s="101">
        <f>119.9*F71</f>
        <v>92.945736428160004</v>
      </c>
      <c r="G52" s="43">
        <f>118.2*G71</f>
        <v>92.851531810080004</v>
      </c>
      <c r="H52" s="118">
        <f>116.2*H71</f>
        <v>93.034427540880003</v>
      </c>
      <c r="I52" s="92"/>
      <c r="J52" s="43">
        <f>118.4*J71</f>
        <v>93.375394319040012</v>
      </c>
      <c r="K52" s="97">
        <f>116.9*K71</f>
        <v>93.971061093209997</v>
      </c>
      <c r="L52" s="44">
        <f>118.9*L71</f>
        <v>93.035993745149995</v>
      </c>
      <c r="M52" s="43">
        <f>117.8*M71</f>
        <v>92.464678183919986</v>
      </c>
      <c r="N52" s="105">
        <f>119.9*N71</f>
        <v>93.017843388910009</v>
      </c>
      <c r="O52" s="126">
        <f>119.9*O71</f>
        <v>93.017843292990008</v>
      </c>
      <c r="P52" s="101">
        <f>119*P71</f>
        <v>93.700787401199989</v>
      </c>
      <c r="Q52" s="44">
        <f>117.1*Q71</f>
        <v>93.381180226889995</v>
      </c>
      <c r="R52" s="43"/>
      <c r="S52" s="35">
        <f>219/S71</f>
        <v>96.390845070422543</v>
      </c>
      <c r="T52" s="100">
        <f>267.7/T71</f>
        <v>92.62975778546712</v>
      </c>
      <c r="U52" s="137">
        <f>296.2/U71</f>
        <v>91.987577639751549</v>
      </c>
      <c r="V52" s="97">
        <f>378.3/V71</f>
        <v>91.178597252349959</v>
      </c>
      <c r="W52" s="43">
        <f>189.2/W71</f>
        <v>99.109481403876373</v>
      </c>
      <c r="X52" s="100">
        <f>210.1/X71</f>
        <v>95.673952641165741</v>
      </c>
      <c r="Y52" s="55">
        <f>193.9/Y71</f>
        <v>97.339357429718874</v>
      </c>
      <c r="Z52" s="35">
        <f>363/Z71</f>
        <v>85.613207547169807</v>
      </c>
      <c r="AA52" s="92">
        <f>357.9/AA71</f>
        <v>85.112960760998803</v>
      </c>
    </row>
    <row r="53" spans="1:27" x14ac:dyDescent="0.3">
      <c r="A53" s="124">
        <v>8</v>
      </c>
      <c r="B53" s="133">
        <v>2011</v>
      </c>
      <c r="C53" s="101">
        <f>118.4*C71</f>
        <v>93.745051468160014</v>
      </c>
      <c r="D53" s="43">
        <f>118.6*D71</f>
        <v>93.238993709199988</v>
      </c>
      <c r="E53" s="118">
        <f>117.7*E71</f>
        <v>92.750197003419999</v>
      </c>
      <c r="F53" s="101">
        <f>120.3*F71</f>
        <v>93.255813947519997</v>
      </c>
      <c r="G53" s="43">
        <f>118.4*G71</f>
        <v>93.008641000959997</v>
      </c>
      <c r="H53" s="118">
        <f>116.5*H71</f>
        <v>93.274619694600005</v>
      </c>
      <c r="I53" s="92"/>
      <c r="J53" s="43">
        <f>118.7*J71</f>
        <v>93.611987378969999</v>
      </c>
      <c r="K53" s="97">
        <f>117*K71</f>
        <v>94.0514469453</v>
      </c>
      <c r="L53" s="44">
        <f>119.1*L71</f>
        <v>93.192488267849996</v>
      </c>
      <c r="M53" s="43">
        <f>118.2*M71</f>
        <v>92.77864992648</v>
      </c>
      <c r="N53" s="105">
        <f>120.2*N71</f>
        <v>93.250581946180006</v>
      </c>
      <c r="O53" s="126">
        <f>120.2*O71</f>
        <v>93.250581850019998</v>
      </c>
      <c r="P53" s="101">
        <f>119.1*P71</f>
        <v>93.779527558679987</v>
      </c>
      <c r="Q53" s="44">
        <f>117.6*Q71</f>
        <v>93.779904309839992</v>
      </c>
      <c r="R53" s="43"/>
      <c r="S53" s="35">
        <f>219.7/S71</f>
        <v>96.698943661971839</v>
      </c>
      <c r="T53" s="100">
        <f>268.8/T71</f>
        <v>93.010380622837374</v>
      </c>
      <c r="U53" s="137">
        <f>296.9/U71</f>
        <v>92.204968944099363</v>
      </c>
      <c r="V53" s="97">
        <f>377.7/V71</f>
        <v>91.033984092552416</v>
      </c>
      <c r="W53" s="43">
        <f>189.3/W71</f>
        <v>99.161864850707175</v>
      </c>
      <c r="X53" s="100">
        <f>214.1/X71</f>
        <v>97.495446265938057</v>
      </c>
      <c r="Y53" s="55">
        <f>194.3/Y71</f>
        <v>97.540160642570285</v>
      </c>
      <c r="Z53" s="35">
        <f>368.9/Z71</f>
        <v>87.004716981132063</v>
      </c>
      <c r="AA53" s="93">
        <f>363.9/AA71</f>
        <v>86.539833531510098</v>
      </c>
    </row>
    <row r="54" spans="1:27" x14ac:dyDescent="0.3">
      <c r="A54" s="124">
        <v>9</v>
      </c>
      <c r="B54" s="133">
        <v>2011</v>
      </c>
      <c r="C54" s="101">
        <f>118.9*C71</f>
        <v>94.140934286860016</v>
      </c>
      <c r="D54" s="43">
        <f>119.1*D71</f>
        <v>93.632075470199993</v>
      </c>
      <c r="E54" s="118">
        <f>118.1*E71</f>
        <v>93.065405829260001</v>
      </c>
      <c r="F54" s="101">
        <f>120.8*F71</f>
        <v>93.643410846720002</v>
      </c>
      <c r="G54" s="43">
        <f>118.7*G71</f>
        <v>93.244304787280001</v>
      </c>
      <c r="H54" s="118">
        <f>116.8*H71</f>
        <v>93.514811848319994</v>
      </c>
      <c r="I54" s="92"/>
      <c r="J54" s="43">
        <f>119.1*J71</f>
        <v>93.927444792209997</v>
      </c>
      <c r="K54" s="97">
        <f>117.1*K71</f>
        <v>94.13183279738999</v>
      </c>
      <c r="L54" s="44">
        <f>119.5*L71</f>
        <v>93.505477313249997</v>
      </c>
      <c r="M54" s="43">
        <f>118.4*M71</f>
        <v>92.93563579776</v>
      </c>
      <c r="N54" s="105">
        <f>120.8*N71</f>
        <v>93.716059060719999</v>
      </c>
      <c r="O54" s="126">
        <f>120.8*O71</f>
        <v>93.716058964079991</v>
      </c>
      <c r="P54" s="101">
        <f>119.7*P71</f>
        <v>94.251968503559993</v>
      </c>
      <c r="Q54" s="44">
        <f>118*Q71</f>
        <v>94.098883576199995</v>
      </c>
      <c r="R54" s="43"/>
      <c r="S54" s="35">
        <f>220.2/S71</f>
        <v>96.91901408450704</v>
      </c>
      <c r="T54" s="100">
        <f>272.6/T71</f>
        <v>94.325259515570934</v>
      </c>
      <c r="U54" s="137">
        <f>294.9/U71</f>
        <v>91.583850931677006</v>
      </c>
      <c r="V54" s="97">
        <f>377.7/V71</f>
        <v>91.033984092552416</v>
      </c>
      <c r="W54" s="43">
        <f>189.1/W71</f>
        <v>99.057097957045571</v>
      </c>
      <c r="X54" s="100">
        <f>213.8/X71</f>
        <v>97.358834244080143</v>
      </c>
      <c r="Y54" s="55">
        <f>194.3/Y71</f>
        <v>97.540160642570285</v>
      </c>
      <c r="Z54" s="35">
        <f>368.9/Z71</f>
        <v>87.004716981132063</v>
      </c>
      <c r="AA54" s="93">
        <f>363.9/AA71</f>
        <v>86.539833531510098</v>
      </c>
    </row>
    <row r="55" spans="1:27" x14ac:dyDescent="0.3">
      <c r="A55" s="124">
        <v>10</v>
      </c>
      <c r="B55" s="133">
        <v>2011</v>
      </c>
      <c r="C55" s="101">
        <f>119.4*C71</f>
        <v>94.536817105560004</v>
      </c>
      <c r="D55" s="43">
        <f>119.7*D71</f>
        <v>94.103773583399999</v>
      </c>
      <c r="E55" s="118">
        <f>118.9*E71</f>
        <v>93.695823480940007</v>
      </c>
      <c r="F55" s="101">
        <f>121.7*F71</f>
        <v>94.34108526528</v>
      </c>
      <c r="G55" s="43">
        <f>119.4*G71</f>
        <v>93.794186955360004</v>
      </c>
      <c r="H55" s="118">
        <f>117.7*H71</f>
        <v>94.235388309480001</v>
      </c>
      <c r="I55" s="92"/>
      <c r="J55" s="43">
        <f>119.7*J71</f>
        <v>94.40063091207</v>
      </c>
      <c r="K55" s="97">
        <f>117.8*K71</f>
        <v>94.694533762020001</v>
      </c>
      <c r="L55" s="44">
        <f>120.2*L71</f>
        <v>94.053208142700001</v>
      </c>
      <c r="M55" s="43">
        <f>119.3*M71</f>
        <v>93.642072218519985</v>
      </c>
      <c r="N55" s="105">
        <f>121.5*N71</f>
        <v>94.259115694350001</v>
      </c>
      <c r="O55" s="126">
        <f>121.5*O71</f>
        <v>94.25911559715</v>
      </c>
      <c r="P55" s="101">
        <f>120.4*P71</f>
        <v>94.803149605919998</v>
      </c>
      <c r="Q55" s="44">
        <f>118.8*Q71</f>
        <v>94.736842108920001</v>
      </c>
      <c r="R55" s="43"/>
      <c r="S55" s="35">
        <f>221.6/S71</f>
        <v>97.535211267605646</v>
      </c>
      <c r="T55" s="100">
        <f>276.9/T71</f>
        <v>95.813148788927322</v>
      </c>
      <c r="U55" s="137">
        <f>296.3/U71</f>
        <v>92.018633540372676</v>
      </c>
      <c r="V55" s="97">
        <f>392.4/V71</f>
        <v>94.577006507592188</v>
      </c>
      <c r="W55" s="43">
        <f>187.6/W71</f>
        <v>98.271346254583548</v>
      </c>
      <c r="X55" s="100">
        <f>213.2/X71</f>
        <v>97.085610200364286</v>
      </c>
      <c r="Y55" s="55">
        <f>193.9/Y71</f>
        <v>97.339357429718874</v>
      </c>
      <c r="Z55" s="35">
        <f>382.8/Z71</f>
        <v>90.283018867924525</v>
      </c>
      <c r="AA55" s="92">
        <f>377.9/AA71</f>
        <v>89.869203329369796</v>
      </c>
    </row>
    <row r="56" spans="1:27" x14ac:dyDescent="0.3">
      <c r="A56" s="124">
        <v>11</v>
      </c>
      <c r="B56" s="133">
        <v>2011</v>
      </c>
      <c r="C56" s="101">
        <f>119.5*C71</f>
        <v>94.615993669300011</v>
      </c>
      <c r="D56" s="43">
        <f>120.1*D71</f>
        <v>94.418238992199989</v>
      </c>
      <c r="E56" s="118">
        <f>119.2*E71</f>
        <v>93.932230100319998</v>
      </c>
      <c r="F56" s="101">
        <f>122.1*F71</f>
        <v>94.651162784639993</v>
      </c>
      <c r="G56" s="43">
        <f>119.9*G71</f>
        <v>94.186959932560001</v>
      </c>
      <c r="H56" s="118">
        <f>118.1*H71</f>
        <v>94.55564451443999</v>
      </c>
      <c r="I56" s="92"/>
      <c r="J56" s="43">
        <f>120.1*J71</f>
        <v>94.716088325309997</v>
      </c>
      <c r="K56" s="97">
        <f>117.9*K71</f>
        <v>94.774919614110004</v>
      </c>
      <c r="L56" s="44">
        <f>120.6*L71</f>
        <v>94.366197188099989</v>
      </c>
      <c r="M56" s="43">
        <f>119.4*M71</f>
        <v>93.720565154159999</v>
      </c>
      <c r="N56" s="105">
        <f>121.8*N71</f>
        <v>94.491854251619998</v>
      </c>
      <c r="O56" s="126">
        <f>121.8*O71</f>
        <v>94.49185415417999</v>
      </c>
      <c r="P56" s="101">
        <f>120.5*P71</f>
        <v>94.881889763399997</v>
      </c>
      <c r="Q56" s="44">
        <f>118.9*Q71</f>
        <v>94.816586925510009</v>
      </c>
      <c r="R56" s="43"/>
      <c r="S56" s="35">
        <f>223.2/S71</f>
        <v>98.239436619718319</v>
      </c>
      <c r="T56" s="100">
        <f>286.2/T71</f>
        <v>99.031141868512108</v>
      </c>
      <c r="U56" s="137">
        <f>303.7/U71</f>
        <v>94.31677018633539</v>
      </c>
      <c r="V56" s="97">
        <f>413.1/V71</f>
        <v>99.566160520607383</v>
      </c>
      <c r="W56" s="43">
        <f>187.7/W71</f>
        <v>98.323729701414351</v>
      </c>
      <c r="X56" s="100">
        <f>213.4/X71</f>
        <v>97.17668488160291</v>
      </c>
      <c r="Y56" s="55">
        <f>194.3/Y71</f>
        <v>97.540160642570285</v>
      </c>
      <c r="Z56" s="35">
        <f>397.1/Z71</f>
        <v>93.655660377358487</v>
      </c>
      <c r="AA56" s="92">
        <f>392.3/AA71</f>
        <v>93.29369797859691</v>
      </c>
    </row>
    <row r="57" spans="1:27" x14ac:dyDescent="0.3">
      <c r="A57" s="124">
        <v>12</v>
      </c>
      <c r="B57" s="133">
        <v>2011</v>
      </c>
      <c r="C57" s="101">
        <f>119.7*C71</f>
        <v>94.774346796780009</v>
      </c>
      <c r="D57" s="43">
        <f>120.3*D71</f>
        <v>94.57547169659999</v>
      </c>
      <c r="E57" s="118">
        <f>119.4*E71</f>
        <v>94.089834513240007</v>
      </c>
      <c r="F57" s="101">
        <f>122.4*F71</f>
        <v>94.883720924160002</v>
      </c>
      <c r="G57" s="43">
        <f>120.1*G71</f>
        <v>94.344069123439994</v>
      </c>
      <c r="H57" s="118">
        <f>118.4*H71</f>
        <v>94.795836668160007</v>
      </c>
      <c r="I57" s="92"/>
      <c r="J57" s="43">
        <f>120.3*J71</f>
        <v>94.873817031930002</v>
      </c>
      <c r="K57" s="97">
        <f>118*K71</f>
        <v>94.855305466199994</v>
      </c>
      <c r="L57" s="44">
        <f>120.8*L71</f>
        <v>94.52269171079999</v>
      </c>
      <c r="M57" s="43">
        <f>119.7*M71</f>
        <v>93.956043961079999</v>
      </c>
      <c r="N57" s="105">
        <f>122.3*N71</f>
        <v>94.879751847069997</v>
      </c>
      <c r="O57" s="126">
        <f>122.3*O71</f>
        <v>94.879751749229996</v>
      </c>
      <c r="P57" s="101">
        <f>120.9*P71</f>
        <v>95.196850393319991</v>
      </c>
      <c r="Q57" s="44">
        <f>119.2*Q71</f>
        <v>95.055821375280004</v>
      </c>
      <c r="R57" s="43"/>
      <c r="S57" s="35">
        <f>223.6/S71</f>
        <v>98.41549295774648</v>
      </c>
      <c r="T57" s="100">
        <f>286.5/T71</f>
        <v>99.134948096885807</v>
      </c>
      <c r="U57" s="137">
        <f>311.1/U71</f>
        <v>96.614906832298132</v>
      </c>
      <c r="V57" s="97">
        <f>419.9/V71</f>
        <v>101.2051096649795</v>
      </c>
      <c r="W57" s="43">
        <f>188.4/W71</f>
        <v>98.690413829229968</v>
      </c>
      <c r="X57" s="100">
        <f>213.7/X71</f>
        <v>97.313296903460824</v>
      </c>
      <c r="Y57" s="55">
        <f>195.1/Y71</f>
        <v>97.941767068273094</v>
      </c>
      <c r="Z57" s="35">
        <f>409.4/Z71</f>
        <v>96.556603773584897</v>
      </c>
      <c r="AA57" s="92">
        <f>411.1/AA71</f>
        <v>97.764565992865641</v>
      </c>
    </row>
    <row r="58" spans="1:27" x14ac:dyDescent="0.3">
      <c r="A58" s="124">
        <v>1</v>
      </c>
      <c r="B58" s="133">
        <v>2012</v>
      </c>
      <c r="C58" s="101">
        <f>120.2*C71</f>
        <v>95.170229615480011</v>
      </c>
      <c r="D58" s="43">
        <f>120.8*D71</f>
        <v>94.968553457599995</v>
      </c>
      <c r="E58" s="118">
        <f>119.6*E71</f>
        <v>94.247438926160001</v>
      </c>
      <c r="F58" s="101">
        <f>123.3*F71</f>
        <v>95.58139534272</v>
      </c>
      <c r="G58" s="43">
        <f>120.8*G71</f>
        <v>94.893951291519997</v>
      </c>
      <c r="H58" s="118">
        <f>118.6*H71</f>
        <v>94.955964770639994</v>
      </c>
      <c r="I58" s="92"/>
      <c r="J58" s="43">
        <f>121.2*J71</f>
        <v>95.583596211720007</v>
      </c>
      <c r="K58" s="97">
        <f>118.8*K71</f>
        <v>95.498392282919994</v>
      </c>
      <c r="L58" s="44">
        <f>121.5*L71</f>
        <v>95.070422540249993</v>
      </c>
      <c r="M58" s="80">
        <f>119.5*M71</f>
        <v>93.799058089799999</v>
      </c>
      <c r="N58" s="105">
        <f>123*N71</f>
        <v>95.422808480699999</v>
      </c>
      <c r="O58" s="126">
        <f>123*O71</f>
        <v>95.422808382299991</v>
      </c>
      <c r="P58" s="101">
        <f>121.8*P71</f>
        <v>95.905511810639993</v>
      </c>
      <c r="Q58" s="44">
        <f>119.7*Q71</f>
        <v>95.454545458230001</v>
      </c>
      <c r="R58" s="43"/>
      <c r="S58" s="35">
        <f>224.5/S71</f>
        <v>98.811619718309871</v>
      </c>
      <c r="T58" s="100">
        <f>287.7/T71</f>
        <v>99.550173010380618</v>
      </c>
      <c r="U58" s="137">
        <f>312/U71</f>
        <v>96.894409937888199</v>
      </c>
      <c r="V58" s="97">
        <f>409.3/V71</f>
        <v>98.650277175222953</v>
      </c>
      <c r="W58" s="43">
        <f>188.6/W71</f>
        <v>98.795180722891558</v>
      </c>
      <c r="X58" s="100">
        <f>213.7/X71</f>
        <v>97.313296903460824</v>
      </c>
      <c r="Y58" s="55">
        <f>194.9/Y71</f>
        <v>97.841365461847388</v>
      </c>
      <c r="Z58" s="35">
        <f>407.4/Z71</f>
        <v>96.084905660377345</v>
      </c>
      <c r="AA58" s="92">
        <f>402.7/AA71</f>
        <v>95.766944114149823</v>
      </c>
    </row>
    <row r="59" spans="1:27" x14ac:dyDescent="0.3">
      <c r="A59" s="134">
        <v>2</v>
      </c>
      <c r="B59" s="133">
        <v>2012</v>
      </c>
      <c r="C59" s="101">
        <f>120.8*C71</f>
        <v>95.645288997920005</v>
      </c>
      <c r="D59" s="43">
        <f>121.4*D71</f>
        <v>95.440251570800001</v>
      </c>
      <c r="E59" s="118">
        <f>120.6*E71</f>
        <v>95.035460990760001</v>
      </c>
      <c r="F59" s="101">
        <f>124*F71</f>
        <v>96.124031001600002</v>
      </c>
      <c r="G59" s="43">
        <f>121.6*G71</f>
        <v>95.522388055039997</v>
      </c>
      <c r="H59" s="118">
        <f>119.3*H71</f>
        <v>95.51641312932</v>
      </c>
      <c r="I59" s="92"/>
      <c r="J59" s="43">
        <f>121.8*J71</f>
        <v>96.056782331579996</v>
      </c>
      <c r="K59" s="97">
        <f>119.5*K71</f>
        <v>96.061093247550005</v>
      </c>
      <c r="L59" s="44">
        <f>122.3*L71</f>
        <v>95.696400631049997</v>
      </c>
      <c r="M59" s="43">
        <f>121.2*M71</f>
        <v>95.133437995679998</v>
      </c>
      <c r="N59" s="105">
        <f>123.9*N71</f>
        <v>96.121024152510003</v>
      </c>
      <c r="O59" s="126">
        <f>123.9*O71</f>
        <v>96.121024053390002</v>
      </c>
      <c r="P59" s="101">
        <f>122.5*P71</f>
        <v>96.456692912999998</v>
      </c>
      <c r="Q59" s="44">
        <f>120.5*Q71</f>
        <v>96.092503990950007</v>
      </c>
      <c r="R59" s="43"/>
      <c r="S59" s="34">
        <f>226.6/S71</f>
        <v>99.735915492957758</v>
      </c>
      <c r="T59" s="100">
        <f>290.5/T71</f>
        <v>100.51903114186851</v>
      </c>
      <c r="U59" s="137">
        <f>318/U71</f>
        <v>98.757763975155271</v>
      </c>
      <c r="V59" s="96">
        <f>409/V71</f>
        <v>98.577970595324174</v>
      </c>
      <c r="W59" s="37">
        <f>189.4/W71</f>
        <v>99.214248297537978</v>
      </c>
      <c r="X59" s="100">
        <f>214.7/X71</f>
        <v>97.768670309653899</v>
      </c>
      <c r="Y59" s="55">
        <f>195.3/Y71</f>
        <v>98.0421686746988</v>
      </c>
      <c r="Z59" s="34">
        <f>407.4/Z71</f>
        <v>96.084905660377345</v>
      </c>
      <c r="AA59" s="94">
        <f>402.3/AA71</f>
        <v>95.671819262782407</v>
      </c>
    </row>
    <row r="60" spans="1:27" x14ac:dyDescent="0.3">
      <c r="A60" s="134">
        <v>3</v>
      </c>
      <c r="B60" s="133">
        <v>2012</v>
      </c>
      <c r="C60" s="101">
        <f>122.1*C71</f>
        <v>96.67458432654</v>
      </c>
      <c r="D60" s="43">
        <f>122.8*D71</f>
        <v>96.540880501599986</v>
      </c>
      <c r="E60" s="118">
        <f>122.7*E71</f>
        <v>96.690307326419997</v>
      </c>
      <c r="F60" s="101">
        <f>125*F71</f>
        <v>96.899224799999999</v>
      </c>
      <c r="G60" s="43">
        <f>122.6*G71</f>
        <v>96.30793400943999</v>
      </c>
      <c r="H60" s="118">
        <f>120.7*H71</f>
        <v>96.637309846679997</v>
      </c>
      <c r="I60" s="92"/>
      <c r="J60" s="43">
        <f>123.3*J71</f>
        <v>97.239747631230003</v>
      </c>
      <c r="K60" s="97">
        <f>120.7*K71</f>
        <v>97.025723472630006</v>
      </c>
      <c r="L60" s="44">
        <f>123.3*L71</f>
        <v>96.478873244549987</v>
      </c>
      <c r="M60" s="43">
        <f>122.7*M71</f>
        <v>96.310832030279997</v>
      </c>
      <c r="N60" s="105">
        <f>125.1*N71</f>
        <v>97.051978381590004</v>
      </c>
      <c r="O60" s="126">
        <f>125.1*O71</f>
        <v>97.051978281509989</v>
      </c>
      <c r="P60" s="101">
        <f>123.4*P71</f>
        <v>97.16535433032</v>
      </c>
      <c r="Q60" s="44">
        <f>121.6*Q71</f>
        <v>96.969696973439994</v>
      </c>
      <c r="R60" s="43"/>
      <c r="S60" s="34">
        <f>228.2/S71</f>
        <v>100.44014084507043</v>
      </c>
      <c r="T60" s="100">
        <f>290.5/T71</f>
        <v>100.51903114186851</v>
      </c>
      <c r="U60" s="137">
        <f>317.3/U71</f>
        <v>98.540372670807457</v>
      </c>
      <c r="V60" s="96">
        <f>414.2/V71</f>
        <v>99.831284646902859</v>
      </c>
      <c r="W60" s="37">
        <f>188.2/W71</f>
        <v>98.585646935568349</v>
      </c>
      <c r="X60" s="100">
        <f>214.4/X71</f>
        <v>97.632058287795985</v>
      </c>
      <c r="Y60" s="55">
        <f>194.8/Y71</f>
        <v>97.791164658634543</v>
      </c>
      <c r="Z60" s="34">
        <f>411.4/Z71</f>
        <v>97.028301886792448</v>
      </c>
      <c r="AA60" s="94">
        <f>406.7/AA71</f>
        <v>96.71819262782401</v>
      </c>
    </row>
    <row r="61" spans="1:27" x14ac:dyDescent="0.3">
      <c r="A61" s="134">
        <v>4</v>
      </c>
      <c r="B61" s="133">
        <v>2012</v>
      </c>
      <c r="C61" s="101">
        <f>122.7*C71</f>
        <v>97.149643708980008</v>
      </c>
      <c r="D61" s="43">
        <f>123.3*D71</f>
        <v>96.933962262599991</v>
      </c>
      <c r="E61" s="118">
        <f>123.3*E71</f>
        <v>97.163120565179995</v>
      </c>
      <c r="F61" s="101">
        <f>125.2*F71</f>
        <v>97.05426355968001</v>
      </c>
      <c r="G61" s="43">
        <f>123*G71</f>
        <v>96.62215239119999</v>
      </c>
      <c r="H61" s="118">
        <f>121.3*H71</f>
        <v>97.117694154120002</v>
      </c>
      <c r="I61" s="92"/>
      <c r="J61" s="43">
        <f>123.8*J71</f>
        <v>97.634069397779996</v>
      </c>
      <c r="K61" s="97">
        <f>121.2*K71</f>
        <v>97.427652733079995</v>
      </c>
      <c r="L61" s="44">
        <f>123.8*L71</f>
        <v>96.87010955129999</v>
      </c>
      <c r="M61" s="43">
        <f>123.1*M71</f>
        <v>96.624803772839982</v>
      </c>
      <c r="N61" s="105">
        <f>125.7*N71</f>
        <v>97.517455496130012</v>
      </c>
      <c r="O61" s="126">
        <f>125.7*O71</f>
        <v>97.517455395569996</v>
      </c>
      <c r="P61" s="101">
        <f>124.1*P71</f>
        <v>97.71653543267999</v>
      </c>
      <c r="Q61" s="44">
        <f>122.1*Q71</f>
        <v>97.368421056389991</v>
      </c>
      <c r="R61" s="43"/>
      <c r="S61" s="34">
        <f>227.9/S71</f>
        <v>100.30809859154931</v>
      </c>
      <c r="T61" s="100">
        <f>290.4/T71</f>
        <v>100.48442906574394</v>
      </c>
      <c r="U61" s="137">
        <f>317.1/U71</f>
        <v>98.478260869565219</v>
      </c>
      <c r="V61" s="96">
        <f>422.2/V71</f>
        <v>101.75946011087008</v>
      </c>
      <c r="W61" s="37">
        <f>188.6/W71</f>
        <v>98.795180722891558</v>
      </c>
      <c r="X61" s="100">
        <f>218/X71</f>
        <v>99.271402550091068</v>
      </c>
      <c r="Y61" s="55">
        <f>198.6/Y71</f>
        <v>99.698795180722882</v>
      </c>
      <c r="Z61" s="34">
        <f>431.6/Z71</f>
        <v>101.79245283018868</v>
      </c>
      <c r="AA61" s="94">
        <f>425.5/AA71</f>
        <v>101.18906064209274</v>
      </c>
    </row>
    <row r="62" spans="1:27" x14ac:dyDescent="0.3">
      <c r="A62" s="134">
        <v>5</v>
      </c>
      <c r="B62" s="133">
        <v>2012</v>
      </c>
      <c r="C62" s="101">
        <f>122.9*C71</f>
        <v>97.307996836460006</v>
      </c>
      <c r="D62" s="43">
        <f>123.5*D71</f>
        <v>97.091194966999993</v>
      </c>
      <c r="E62" s="118">
        <f>123.6*E71</f>
        <v>97.39952718456</v>
      </c>
      <c r="F62" s="101">
        <f>125.3*F71</f>
        <v>97.131782939519994</v>
      </c>
      <c r="G62" s="43">
        <f>123.3*G71</f>
        <v>96.857816177519993</v>
      </c>
      <c r="H62" s="118">
        <f>121.4*H71</f>
        <v>97.197758205360003</v>
      </c>
      <c r="I62" s="92"/>
      <c r="J62" s="43">
        <f>123.9*J71</f>
        <v>97.712933751090006</v>
      </c>
      <c r="K62" s="97">
        <f>121.2*K71</f>
        <v>97.427652733079995</v>
      </c>
      <c r="L62" s="44">
        <f>124*L71</f>
        <v>97.026604073999991</v>
      </c>
      <c r="M62" s="43">
        <f>123*M71</f>
        <v>96.546310837199997</v>
      </c>
      <c r="N62" s="105">
        <f>125.6*N71</f>
        <v>97.439875977040003</v>
      </c>
      <c r="O62" s="126">
        <f>125.6*O71</f>
        <v>97.439875876559995</v>
      </c>
      <c r="P62" s="101">
        <f>124*P71</f>
        <v>97.637795275199991</v>
      </c>
      <c r="Q62" s="44">
        <f>122.1*Q71</f>
        <v>97.368421056389991</v>
      </c>
      <c r="R62" s="43"/>
      <c r="S62" s="34">
        <f>226.9/S71</f>
        <v>99.867957746478879</v>
      </c>
      <c r="T62" s="100">
        <f>288.9/T71</f>
        <v>99.965397923875415</v>
      </c>
      <c r="U62" s="137">
        <f>323/U71</f>
        <v>100.31055900621118</v>
      </c>
      <c r="V62" s="96">
        <f>426.6/V71</f>
        <v>102.81995661605207</v>
      </c>
      <c r="W62" s="37">
        <f>190.3/W71</f>
        <v>99.6856993190152</v>
      </c>
      <c r="X62" s="100">
        <f>218.8/X71</f>
        <v>99.635701275045534</v>
      </c>
      <c r="Y62" s="55">
        <f>199.4/Y71</f>
        <v>100.10040160642571</v>
      </c>
      <c r="Z62" s="34">
        <f>435.6/Z71</f>
        <v>102.73584905660377</v>
      </c>
      <c r="AA62" s="94">
        <f>429.5/AA71</f>
        <v>102.14030915576694</v>
      </c>
    </row>
    <row r="63" spans="1:27" x14ac:dyDescent="0.3">
      <c r="A63" s="134">
        <v>6</v>
      </c>
      <c r="B63" s="133">
        <v>2012</v>
      </c>
      <c r="C63" s="101">
        <f>123.2*C71</f>
        <v>97.545526527680011</v>
      </c>
      <c r="D63" s="43">
        <f>124*D71</f>
        <v>97.484276727999998</v>
      </c>
      <c r="E63" s="118">
        <f>123.8*E71</f>
        <v>97.557131597479994</v>
      </c>
      <c r="F63" s="101">
        <f>125.2*F71</f>
        <v>97.05426355968001</v>
      </c>
      <c r="G63" s="43">
        <f>124.2*G71</f>
        <v>97.564807536480004</v>
      </c>
      <c r="H63" s="118">
        <f>121.7*H71</f>
        <v>97.437950359080006</v>
      </c>
      <c r="I63" s="92"/>
      <c r="J63" s="43">
        <f>123.7*J71</f>
        <v>97.55520504447</v>
      </c>
      <c r="K63" s="97">
        <f>121.8*K71</f>
        <v>97.909967845620002</v>
      </c>
      <c r="L63" s="44">
        <f>124.5*L71</f>
        <v>97.417840380749993</v>
      </c>
      <c r="M63" s="43">
        <f>123.8*M71</f>
        <v>97.174254322319996</v>
      </c>
      <c r="N63" s="105">
        <f>125.6*N71</f>
        <v>97.439875977040003</v>
      </c>
      <c r="O63" s="126">
        <f>125.6*O71</f>
        <v>97.439875876559995</v>
      </c>
      <c r="P63" s="101">
        <f>124.2*P71</f>
        <v>97.795275590160003</v>
      </c>
      <c r="Q63" s="44">
        <f>121.9*Q71</f>
        <v>97.208931423210004</v>
      </c>
      <c r="R63" s="43"/>
      <c r="S63" s="34">
        <f>226.8/S71</f>
        <v>99.823943661971839</v>
      </c>
      <c r="T63" s="100">
        <f>289.1/T71</f>
        <v>100.03460207612457</v>
      </c>
      <c r="U63" s="137">
        <f>324/U71</f>
        <v>100.62111801242236</v>
      </c>
      <c r="V63" s="96">
        <f>410.3/V71</f>
        <v>98.891299108218846</v>
      </c>
      <c r="W63" s="37">
        <f>190.8/W71</f>
        <v>99.947616553169198</v>
      </c>
      <c r="X63" s="100">
        <f>219.1/X71</f>
        <v>99.772313296903448</v>
      </c>
      <c r="Y63" s="55">
        <f>199.9/Y71</f>
        <v>100.35140562248996</v>
      </c>
      <c r="Z63" s="34">
        <f>425.7/Z71</f>
        <v>100.40094339622641</v>
      </c>
      <c r="AA63" s="94">
        <f>421.1/AA71</f>
        <v>100.14268727705114</v>
      </c>
    </row>
    <row r="64" spans="1:27" x14ac:dyDescent="0.3">
      <c r="A64" s="134">
        <v>7</v>
      </c>
      <c r="B64" s="133">
        <v>2012</v>
      </c>
      <c r="C64" s="101">
        <f>123.6*C71</f>
        <v>97.862232782640007</v>
      </c>
      <c r="D64" s="43">
        <f>124.7*D71</f>
        <v>98.03459119339999</v>
      </c>
      <c r="E64" s="118">
        <f>124.2*E71</f>
        <v>97.872340423319997</v>
      </c>
      <c r="F64" s="101">
        <f>126.5*F71</f>
        <v>98.062015497600001</v>
      </c>
      <c r="G64" s="43">
        <f>124.6*G71</f>
        <v>97.879025918239989</v>
      </c>
      <c r="H64" s="118">
        <f>121.9*H71</f>
        <v>97.598078461560007</v>
      </c>
      <c r="I64" s="92"/>
      <c r="J64" s="43">
        <f>124.3*J71</f>
        <v>98.028391164330003</v>
      </c>
      <c r="K64" s="97">
        <f>122.2*K71</f>
        <v>98.231511253980003</v>
      </c>
      <c r="L64" s="44">
        <f>124.8*L71</f>
        <v>97.652582164799995</v>
      </c>
      <c r="M64" s="43">
        <f>123.9*M71</f>
        <v>97.252747257959996</v>
      </c>
      <c r="N64" s="105">
        <f>125.9*N71</f>
        <v>97.672614534310014</v>
      </c>
      <c r="O64" s="126">
        <f>125.9*O71</f>
        <v>97.672614433589999</v>
      </c>
      <c r="P64" s="101">
        <f>124.8*P71</f>
        <v>98.267716535039995</v>
      </c>
      <c r="Q64" s="44">
        <f>122.5*Q71</f>
        <v>97.687400322749994</v>
      </c>
      <c r="R64" s="43"/>
      <c r="S64" s="34">
        <f>227.1/S71</f>
        <v>99.95598591549296</v>
      </c>
      <c r="T64" s="100">
        <f>289.9/T71</f>
        <v>100.3114186851211</v>
      </c>
      <c r="U64" s="137">
        <f>325.3/U71</f>
        <v>101.02484472049689</v>
      </c>
      <c r="V64" s="96">
        <f>378.6/V71</f>
        <v>91.250903832248738</v>
      </c>
      <c r="W64" s="37">
        <f>191/W71</f>
        <v>100.0523834468308</v>
      </c>
      <c r="X64" s="100">
        <f>220.2/X71</f>
        <v>100.27322404371583</v>
      </c>
      <c r="Y64" s="55">
        <f>200/Y71</f>
        <v>100.40160642570281</v>
      </c>
      <c r="Z64" s="34">
        <f>401.1/Z71</f>
        <v>94.59905660377359</v>
      </c>
      <c r="AA64" s="94">
        <f>394.3/AA71</f>
        <v>93.769322235434004</v>
      </c>
    </row>
    <row r="65" spans="1:39" x14ac:dyDescent="0.3">
      <c r="A65" s="134">
        <v>8</v>
      </c>
      <c r="B65" s="133">
        <v>2012</v>
      </c>
      <c r="C65" s="101">
        <f>123.8*C71</f>
        <v>98.020585910120005</v>
      </c>
      <c r="D65" s="43">
        <f>124.9*D71</f>
        <v>98.191823897799992</v>
      </c>
      <c r="E65" s="118">
        <f>124.4*E71</f>
        <v>98.029944836240006</v>
      </c>
      <c r="F65" s="101">
        <f>126.8*F71</f>
        <v>98.294573637119996</v>
      </c>
      <c r="G65" s="43">
        <f>124.7*G71</f>
        <v>97.95758051368</v>
      </c>
      <c r="H65" s="118">
        <f>122.1*H71</f>
        <v>97.758206564039995</v>
      </c>
      <c r="I65" s="92"/>
      <c r="J65" s="43">
        <f>124.5*J71</f>
        <v>98.186119870950009</v>
      </c>
      <c r="K65" s="97">
        <f>122.4*K71</f>
        <v>98.392282958159996</v>
      </c>
      <c r="L65" s="44">
        <f>125.3*L71</f>
        <v>98.043818471549997</v>
      </c>
      <c r="M65" s="43">
        <f>124.5*M71</f>
        <v>97.723704871799995</v>
      </c>
      <c r="N65" s="105">
        <f>126.3*N71</f>
        <v>97.982932610670005</v>
      </c>
      <c r="O65" s="126">
        <f>126.3*O71</f>
        <v>97.98293250962999</v>
      </c>
      <c r="P65" s="101">
        <f>124.9*P71</f>
        <v>98.346456692519993</v>
      </c>
      <c r="Q65" s="44">
        <f>122.8*Q71</f>
        <v>97.926634772520003</v>
      </c>
      <c r="R65" s="43"/>
      <c r="S65" s="34">
        <f>227.9/S71</f>
        <v>100.30809859154931</v>
      </c>
      <c r="T65" s="100">
        <f>290/T71</f>
        <v>100.34602076124567</v>
      </c>
      <c r="U65" s="137">
        <f>324.2/U71</f>
        <v>100.68322981366458</v>
      </c>
      <c r="V65" s="96">
        <f>388/V71</f>
        <v>93.516510002410214</v>
      </c>
      <c r="W65" s="37">
        <f>191.5/W71</f>
        <v>100.3143006809848</v>
      </c>
      <c r="X65" s="100">
        <f>219.1/X71</f>
        <v>99.772313296903448</v>
      </c>
      <c r="Y65" s="55">
        <f>200.5/Y71</f>
        <v>100.65261044176707</v>
      </c>
      <c r="Z65" s="34">
        <f>406.6/Z71</f>
        <v>95.896226415094347</v>
      </c>
      <c r="AA65" s="94">
        <f>399.9/AA71</f>
        <v>95.101070154577883</v>
      </c>
    </row>
    <row r="66" spans="1:39" x14ac:dyDescent="0.3">
      <c r="A66" s="134">
        <v>9</v>
      </c>
      <c r="B66" s="133">
        <v>2012</v>
      </c>
      <c r="C66" s="101">
        <f>124.9*C71</f>
        <v>98.891528111260016</v>
      </c>
      <c r="D66" s="43">
        <f>125.7*D71</f>
        <v>98.8207547154</v>
      </c>
      <c r="E66" s="118">
        <f>125.4*E71</f>
        <v>98.817966900840005</v>
      </c>
      <c r="F66" s="101">
        <f>128*F71</f>
        <v>99.224806195200003</v>
      </c>
      <c r="G66" s="43">
        <f>125.9*G71</f>
        <v>98.90023565896</v>
      </c>
      <c r="H66" s="118">
        <f>123.3*H71</f>
        <v>98.718975178920005</v>
      </c>
      <c r="I66" s="92"/>
      <c r="J66" s="43">
        <f>125.5*J71</f>
        <v>98.974763404050009</v>
      </c>
      <c r="K66" s="97">
        <f>123.3*K71</f>
        <v>99.11575562697</v>
      </c>
      <c r="L66" s="44">
        <f>126.3*L71</f>
        <v>98.826291085049988</v>
      </c>
      <c r="M66" s="43">
        <f>126.2*M71</f>
        <v>99.058084777679994</v>
      </c>
      <c r="N66" s="105">
        <f>127.3*N71</f>
        <v>98.758727801570004</v>
      </c>
      <c r="O66" s="126">
        <f>127.3*O71</f>
        <v>98.758727699729988</v>
      </c>
      <c r="P66" s="101">
        <f>126*P71</f>
        <v>99.212598424799992</v>
      </c>
      <c r="Q66" s="44">
        <f>124.1*Q71</f>
        <v>98.963317388189992</v>
      </c>
      <c r="R66" s="43"/>
      <c r="S66" s="34">
        <f>227.5/S71</f>
        <v>100.13204225352113</v>
      </c>
      <c r="T66" s="100">
        <f>289.8/T71</f>
        <v>100.27681660899654</v>
      </c>
      <c r="U66" s="137">
        <f>323.5/U71</f>
        <v>100.46583850931677</v>
      </c>
      <c r="V66" s="96">
        <f>412.7/V71</f>
        <v>99.469751747409006</v>
      </c>
      <c r="W66" s="37">
        <f>192.5/W71</f>
        <v>100.83813514929282</v>
      </c>
      <c r="X66" s="100">
        <f>223.2/X71</f>
        <v>101.63934426229507</v>
      </c>
      <c r="Y66" s="55">
        <f>200.6/Y71</f>
        <v>100.70281124497991</v>
      </c>
      <c r="Z66" s="34">
        <f>434/Z71</f>
        <v>102.35849056603773</v>
      </c>
      <c r="AA66" s="94">
        <f>427.5/AA71</f>
        <v>101.66468489892985</v>
      </c>
    </row>
    <row r="67" spans="1:39" x14ac:dyDescent="0.3">
      <c r="A67" s="134">
        <v>10</v>
      </c>
      <c r="B67" s="133">
        <v>2012</v>
      </c>
      <c r="C67" s="101">
        <f>125.5*C71</f>
        <v>99.36658749370001</v>
      </c>
      <c r="D67" s="43">
        <f>126.5*D71</f>
        <v>99.449685532999993</v>
      </c>
      <c r="E67" s="118">
        <f>126.1*E71</f>
        <v>99.36958234606</v>
      </c>
      <c r="F67" s="101">
        <f>128.6*F71</f>
        <v>99.689922474239992</v>
      </c>
      <c r="G67" s="43">
        <f>126.7*G71</f>
        <v>99.52867242248</v>
      </c>
      <c r="H67" s="118">
        <f>124.1*H71</f>
        <v>99.359487588839997</v>
      </c>
      <c r="I67" s="92"/>
      <c r="J67" s="43">
        <f>126.3*J71</f>
        <v>99.605678230530003</v>
      </c>
      <c r="K67" s="97">
        <f>124*K71</f>
        <v>99.678456591599996</v>
      </c>
      <c r="L67" s="44">
        <f>127.3*L71</f>
        <v>99.608763698549993</v>
      </c>
      <c r="M67" s="43">
        <f>127.1*M71</f>
        <v>99.764521198439994</v>
      </c>
      <c r="N67" s="105">
        <f>128.2*N71</f>
        <v>99.456943473379994</v>
      </c>
      <c r="O67" s="126">
        <f>128.2*O71</f>
        <v>99.456943370819985</v>
      </c>
      <c r="P67" s="101">
        <f>126.5*P71</f>
        <v>99.6062992122</v>
      </c>
      <c r="Q67" s="44">
        <f>124.9*Q71</f>
        <v>99.601275920909998</v>
      </c>
      <c r="R67" s="43"/>
      <c r="S67" s="34">
        <f>226.8/S71</f>
        <v>99.823943661971839</v>
      </c>
      <c r="T67" s="100">
        <f>285.9/T71</f>
        <v>98.927335640138395</v>
      </c>
      <c r="U67" s="137">
        <f>324/U71</f>
        <v>100.62111801242236</v>
      </c>
      <c r="V67" s="96">
        <f>433/V71</f>
        <v>104.36249698722584</v>
      </c>
      <c r="W67" s="37">
        <f>192.5/W71</f>
        <v>100.83813514929282</v>
      </c>
      <c r="X67" s="100">
        <f>224.1/X71</f>
        <v>102.04918032786884</v>
      </c>
      <c r="Y67" s="55">
        <f>201.4/Y71</f>
        <v>101.10441767068274</v>
      </c>
      <c r="Z67" s="34">
        <f>436.4/Z71</f>
        <v>102.92452830188678</v>
      </c>
      <c r="AA67" s="94">
        <f>443.5/AA71</f>
        <v>105.46967895362663</v>
      </c>
    </row>
    <row r="68" spans="1:39" x14ac:dyDescent="0.3">
      <c r="A68" s="134">
        <v>11</v>
      </c>
      <c r="B68" s="133">
        <v>2012</v>
      </c>
      <c r="C68" s="101">
        <f>125.8*C71</f>
        <v>99.60411718492</v>
      </c>
      <c r="D68" s="43">
        <f>126.9*D71</f>
        <v>99.764150941799997</v>
      </c>
      <c r="E68" s="118">
        <f>126.4*E71</f>
        <v>99.605988965440005</v>
      </c>
      <c r="F68" s="101">
        <f>129*F71</f>
        <v>99.999999993599999</v>
      </c>
      <c r="G68" s="43">
        <f>126.9*G71</f>
        <v>99.685781613360007</v>
      </c>
      <c r="H68" s="118">
        <f>124.4*H71</f>
        <v>99.599679742559999</v>
      </c>
      <c r="I68" s="92"/>
      <c r="J68" s="43">
        <f>126.6*J71</f>
        <v>99.84227129045999</v>
      </c>
      <c r="K68" s="97">
        <f>124.3*K71</f>
        <v>99.919614147869993</v>
      </c>
      <c r="L68" s="44">
        <f>127.5*L71</f>
        <v>99.765258221249994</v>
      </c>
      <c r="M68" s="43">
        <f>127.3*M71</f>
        <v>99.921507069719993</v>
      </c>
      <c r="N68" s="105">
        <f>128.6*N71</f>
        <v>99.767261549739999</v>
      </c>
      <c r="O68" s="126">
        <f>128.6*O71</f>
        <v>99.76726144685999</v>
      </c>
      <c r="P68" s="101">
        <f>126.8*P71</f>
        <v>99.842519684639996</v>
      </c>
      <c r="Q68" s="44">
        <f>125.1*Q71</f>
        <v>99.76076555409</v>
      </c>
      <c r="R68" s="43"/>
      <c r="S68" s="34">
        <f>227.5/S71</f>
        <v>100.13204225352113</v>
      </c>
      <c r="T68" s="100">
        <f>285.9/T71</f>
        <v>98.927335640138395</v>
      </c>
      <c r="U68" s="137">
        <f>326.4/U71</f>
        <v>101.36645962732918</v>
      </c>
      <c r="V68" s="96">
        <f>439.3/V71</f>
        <v>105.88093516510003</v>
      </c>
      <c r="W68" s="37">
        <f>193.2/W71</f>
        <v>101.20481927710843</v>
      </c>
      <c r="X68" s="100">
        <f>225.1/X71</f>
        <v>102.50455373406191</v>
      </c>
      <c r="Y68" s="55">
        <f>202.1/Y71</f>
        <v>101.45582329317268</v>
      </c>
      <c r="Z68" s="34">
        <f>446.3/Z71</f>
        <v>105.25943396226415</v>
      </c>
      <c r="AA68" s="94">
        <f>447.5/AA71</f>
        <v>106.42092746730083</v>
      </c>
    </row>
    <row r="69" spans="1:39" ht="15" thickBot="1" x14ac:dyDescent="0.35">
      <c r="A69" s="171">
        <v>12</v>
      </c>
      <c r="B69" s="172">
        <v>2012</v>
      </c>
      <c r="C69" s="173">
        <f>126.3*C71</f>
        <v>100.00000000362</v>
      </c>
      <c r="D69" s="72">
        <f>127.2*D71</f>
        <v>99.9999999984</v>
      </c>
      <c r="E69" s="174">
        <f>126.9*E71</f>
        <v>99.999999997740005</v>
      </c>
      <c r="F69" s="173">
        <f>129*F71</f>
        <v>99.999999993599999</v>
      </c>
      <c r="G69" s="72">
        <f>127.3*G71</f>
        <v>99.999999995119992</v>
      </c>
      <c r="H69" s="174">
        <f>124.9*H71</f>
        <v>99.999999998760003</v>
      </c>
      <c r="I69" s="383"/>
      <c r="J69" s="72">
        <f>126.8*J71</f>
        <v>99.999999997079996</v>
      </c>
      <c r="K69" s="175">
        <f>124.4*K71</f>
        <v>99.999999999959996</v>
      </c>
      <c r="L69" s="74">
        <f>127.8*L71</f>
        <v>100.0000000053</v>
      </c>
      <c r="M69" s="72">
        <f>127.4*M71</f>
        <v>100.00000000535999</v>
      </c>
      <c r="N69" s="176">
        <f>128.9*N71</f>
        <v>100.00000010701001</v>
      </c>
      <c r="O69" s="177">
        <f>128.9*O71</f>
        <v>100.00000000389001</v>
      </c>
      <c r="P69" s="173">
        <f>127*P71</f>
        <v>99.999999999599993</v>
      </c>
      <c r="Q69" s="74">
        <f>125.4*Q71</f>
        <v>100.00000000386001</v>
      </c>
      <c r="R69" s="43"/>
      <c r="S69" s="36">
        <f>228.2/S71</f>
        <v>100.44014084507043</v>
      </c>
      <c r="T69" s="102">
        <f>289/T71</f>
        <v>100</v>
      </c>
      <c r="U69" s="165">
        <f>329.3/U71</f>
        <v>102.26708074534162</v>
      </c>
      <c r="V69" s="103">
        <f>435.9/V71</f>
        <v>105.06146059291395</v>
      </c>
      <c r="W69" s="38">
        <f>193.7/W71</f>
        <v>101.46673651126244</v>
      </c>
      <c r="X69" s="102">
        <f>225.3/X71</f>
        <v>102.59562841530054</v>
      </c>
      <c r="Y69" s="169">
        <f>202.6/Y71</f>
        <v>101.70682730923694</v>
      </c>
      <c r="Z69" s="36">
        <f>444.4/Z71</f>
        <v>104.81132075471697</v>
      </c>
      <c r="AA69" s="104">
        <f>445.5/AA71</f>
        <v>105.94530321046373</v>
      </c>
    </row>
    <row r="70" spans="1:39" ht="15" thickBot="1" x14ac:dyDescent="0.35"/>
    <row r="71" spans="1:39" ht="15" thickBot="1" x14ac:dyDescent="0.35">
      <c r="C71" s="81">
        <v>0.79176563740000006</v>
      </c>
      <c r="D71" s="81">
        <v>0.78616352199999995</v>
      </c>
      <c r="E71" s="82">
        <v>0.78802206460000002</v>
      </c>
      <c r="F71" s="83">
        <v>0.77519379840000002</v>
      </c>
      <c r="G71" s="81">
        <v>0.78554595439999997</v>
      </c>
      <c r="H71" s="394">
        <v>0.8006405124</v>
      </c>
      <c r="I71" s="168"/>
      <c r="J71" s="81">
        <v>0.78864353310000002</v>
      </c>
      <c r="K71" s="167">
        <v>0.80385852089999998</v>
      </c>
      <c r="L71" s="82">
        <v>0.78247261349999997</v>
      </c>
      <c r="M71" s="83">
        <v>0.78492935639999994</v>
      </c>
      <c r="N71" s="81">
        <v>0.77579519090000004</v>
      </c>
      <c r="O71" s="168">
        <v>0.77579519009999998</v>
      </c>
      <c r="P71" s="83">
        <v>0.78740157479999995</v>
      </c>
      <c r="Q71" s="82">
        <v>0.79744816590000001</v>
      </c>
      <c r="R71" s="377"/>
      <c r="S71" s="85">
        <v>2.2719999999999998</v>
      </c>
      <c r="T71" s="116">
        <v>2.89</v>
      </c>
      <c r="U71" s="384">
        <v>3.22</v>
      </c>
      <c r="V71" s="86">
        <v>4.149</v>
      </c>
      <c r="W71" s="88">
        <v>1.909</v>
      </c>
      <c r="X71" s="86">
        <v>2.1960000000000002</v>
      </c>
      <c r="Y71" s="87">
        <v>1.992</v>
      </c>
      <c r="Z71" s="117">
        <v>4.24</v>
      </c>
      <c r="AA71" s="89">
        <v>4.2050000000000001</v>
      </c>
    </row>
    <row r="72" spans="1:39" x14ac:dyDescent="0.3">
      <c r="Q72" s="8"/>
      <c r="S72" s="9"/>
      <c r="T72" s="9"/>
      <c r="U72" s="9"/>
      <c r="V72" s="9"/>
      <c r="W72" s="9"/>
      <c r="X72" s="9"/>
      <c r="Y72" s="9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NEWTABLE A Indices 2012=100</vt:lpstr>
      <vt:lpstr>Discontinued - OLDTABLE A</vt:lpstr>
      <vt:lpstr>Discontinued - TABLE B</vt:lpstr>
      <vt:lpstr>No Longer Applicable - Table C</vt:lpstr>
      <vt:lpstr>'Discontinued - OLDTABLE A'!Print_Area</vt:lpstr>
      <vt:lpstr>'NEWTABLE A Indices 2012=100'!Print_Area</vt:lpstr>
      <vt:lpstr>'No Longer Applicable - Table C'!Print_Area</vt:lpstr>
      <vt:lpstr>'Discontinued - OLDTABLE A'!Print_Titles</vt:lpstr>
      <vt:lpstr>'NEWTABLE A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2016-04-28T12:20:43Z</cp:lastPrinted>
  <dcterms:created xsi:type="dcterms:W3CDTF">2009-03-23T07:34:27Z</dcterms:created>
  <dcterms:modified xsi:type="dcterms:W3CDTF">2016-09-27T10:55:08Z</dcterms:modified>
</cp:coreProperties>
</file>